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7088\Desktop\"/>
    </mc:Choice>
  </mc:AlternateContent>
  <xr:revisionPtr revIDLastSave="0" documentId="13_ncr:1_{255F6711-708B-4068-A1F2-0DB6D88EEA49}" xr6:coauthVersionLast="47" xr6:coauthVersionMax="47" xr10:uidLastSave="{00000000-0000-0000-0000-000000000000}"/>
  <bookViews>
    <workbookView xWindow="22932" yWindow="-108" windowWidth="23256" windowHeight="12456" xr2:uid="{D0E5B72C-0A91-4D71-BF56-7DE46AB559EE}"/>
  </bookViews>
  <sheets>
    <sheet name="様式第１号" sheetId="7" r:id="rId1"/>
    <sheet name="記入例 " sheetId="6" r:id="rId2"/>
  </sheets>
  <definedNames>
    <definedName name="_xlnm.Print_Area" localSheetId="1">'記入例 '!$A$1:$AP$79</definedName>
    <definedName name="_xlnm.Print_Area" localSheetId="0">様式第１号!$A$1:$AP$79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6" i="6" l="1"/>
  <c r="AF6" i="7"/>
  <c r="AN6" i="7"/>
  <c r="AF78" i="7"/>
  <c r="AH78" i="7" s="1"/>
  <c r="AF77" i="7"/>
  <c r="J75" i="7" s="1"/>
  <c r="AF73" i="7"/>
  <c r="AH73" i="7" s="1"/>
  <c r="AF72" i="7"/>
  <c r="AE70" i="7" s="1"/>
  <c r="AF68" i="7"/>
  <c r="AH68" i="7" s="1"/>
  <c r="AF67" i="7"/>
  <c r="X65" i="7" s="1"/>
  <c r="AF63" i="7"/>
  <c r="AH63" i="7" s="1"/>
  <c r="AF62" i="7"/>
  <c r="L60" i="7" s="1"/>
  <c r="AF58" i="7"/>
  <c r="AH58" i="7" s="1"/>
  <c r="AF57" i="7"/>
  <c r="W55" i="7" s="1"/>
  <c r="AF53" i="7"/>
  <c r="AH53" i="7" s="1"/>
  <c r="AF52" i="7"/>
  <c r="H50" i="7" s="1"/>
  <c r="AF48" i="7"/>
  <c r="AH48" i="7" s="1"/>
  <c r="AF47" i="7"/>
  <c r="Z45" i="7" s="1"/>
  <c r="AF43" i="7"/>
  <c r="AH43" i="7" s="1"/>
  <c r="AF42" i="7"/>
  <c r="Z40" i="7" s="1"/>
  <c r="AF38" i="7"/>
  <c r="AH38" i="7" s="1"/>
  <c r="AF37" i="7"/>
  <c r="AC35" i="7" s="1"/>
  <c r="AF33" i="7"/>
  <c r="AH33" i="7" s="1"/>
  <c r="AF32" i="7"/>
  <c r="AE30" i="7" s="1"/>
  <c r="AF28" i="7"/>
  <c r="AH28" i="7" s="1"/>
  <c r="AF27" i="7"/>
  <c r="AF23" i="7"/>
  <c r="AH23" i="7" s="1"/>
  <c r="AN23" i="7" s="1"/>
  <c r="AF22" i="7"/>
  <c r="H20" i="7" s="1"/>
  <c r="AF18" i="7"/>
  <c r="AH18" i="7" s="1"/>
  <c r="AN18" i="7" s="1"/>
  <c r="AF17" i="7"/>
  <c r="AH17" i="7" s="1"/>
  <c r="D11" i="7"/>
  <c r="AF13" i="6"/>
  <c r="AF12" i="6"/>
  <c r="AF13" i="7"/>
  <c r="AH13" i="7" s="1"/>
  <c r="AF12" i="7"/>
  <c r="D9" i="7" s="1"/>
  <c r="D10" i="6"/>
  <c r="D9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AJ78" i="7"/>
  <c r="AJ77" i="7"/>
  <c r="AJ73" i="7"/>
  <c r="AJ72" i="7"/>
  <c r="AJ68" i="7"/>
  <c r="AJ67" i="7"/>
  <c r="AJ63" i="7"/>
  <c r="AJ62" i="7"/>
  <c r="AJ58" i="7"/>
  <c r="AJ57" i="7"/>
  <c r="AJ53" i="7"/>
  <c r="AJ52" i="7"/>
  <c r="AJ48" i="7"/>
  <c r="AJ47" i="7"/>
  <c r="AJ43" i="7"/>
  <c r="AJ42" i="7"/>
  <c r="AJ38" i="7"/>
  <c r="AJ37" i="7"/>
  <c r="AJ33" i="7"/>
  <c r="AJ32" i="7"/>
  <c r="AJ28" i="7"/>
  <c r="AJ27" i="7"/>
  <c r="AE25" i="7"/>
  <c r="AJ23" i="7"/>
  <c r="AJ22" i="7"/>
  <c r="AJ18" i="7"/>
  <c r="AJ17" i="7"/>
  <c r="AJ13" i="7"/>
  <c r="AJ12" i="7"/>
  <c r="AD74" i="6"/>
  <c r="AC75" i="6"/>
  <c r="AC74" i="6"/>
  <c r="AB75" i="6"/>
  <c r="AB74" i="6"/>
  <c r="X74" i="6"/>
  <c r="W75" i="6"/>
  <c r="W74" i="6"/>
  <c r="V75" i="6"/>
  <c r="V74" i="6"/>
  <c r="R74" i="6"/>
  <c r="Q75" i="6"/>
  <c r="Q74" i="6"/>
  <c r="P75" i="6"/>
  <c r="P74" i="6"/>
  <c r="L75" i="6"/>
  <c r="L74" i="6"/>
  <c r="K75" i="6"/>
  <c r="K74" i="6"/>
  <c r="J75" i="6"/>
  <c r="J74" i="6"/>
  <c r="F75" i="6"/>
  <c r="F74" i="6"/>
  <c r="E75" i="6"/>
  <c r="E74" i="6"/>
  <c r="D75" i="6"/>
  <c r="D74" i="6"/>
  <c r="AE70" i="6"/>
  <c r="AD70" i="6"/>
  <c r="AD69" i="6"/>
  <c r="AC69" i="6"/>
  <c r="AB70" i="6"/>
  <c r="AB69" i="6"/>
  <c r="AA70" i="6"/>
  <c r="AA69" i="6"/>
  <c r="Z70" i="6"/>
  <c r="Z69" i="6"/>
  <c r="Y70" i="6"/>
  <c r="X70" i="6"/>
  <c r="X69" i="6"/>
  <c r="W69" i="6"/>
  <c r="V70" i="6"/>
  <c r="V69" i="6"/>
  <c r="U70" i="6"/>
  <c r="U69" i="6"/>
  <c r="T70" i="6"/>
  <c r="T69" i="6"/>
  <c r="S70" i="6"/>
  <c r="R70" i="6"/>
  <c r="R69" i="6"/>
  <c r="Q69" i="6"/>
  <c r="P70" i="6"/>
  <c r="P69" i="6"/>
  <c r="O70" i="6"/>
  <c r="O69" i="6"/>
  <c r="N70" i="6"/>
  <c r="N69" i="6"/>
  <c r="M70" i="6"/>
  <c r="L70" i="6"/>
  <c r="L69" i="6"/>
  <c r="K69" i="6"/>
  <c r="J70" i="6"/>
  <c r="J69" i="6"/>
  <c r="I70" i="6"/>
  <c r="I69" i="6"/>
  <c r="H70" i="6"/>
  <c r="H69" i="6"/>
  <c r="G70" i="6"/>
  <c r="F70" i="6"/>
  <c r="F69" i="6"/>
  <c r="E69" i="6"/>
  <c r="D70" i="6"/>
  <c r="D69" i="6"/>
  <c r="AC59" i="6"/>
  <c r="AB60" i="6"/>
  <c r="AB59" i="6"/>
  <c r="W59" i="6"/>
  <c r="V60" i="6"/>
  <c r="V59" i="6"/>
  <c r="Q59" i="6"/>
  <c r="P60" i="6"/>
  <c r="P59" i="6"/>
  <c r="K59" i="6"/>
  <c r="J60" i="6"/>
  <c r="J59" i="6"/>
  <c r="E59" i="6"/>
  <c r="D60" i="6"/>
  <c r="D59" i="6"/>
  <c r="AB54" i="6"/>
  <c r="AA55" i="6"/>
  <c r="AA54" i="6"/>
  <c r="Z55" i="6"/>
  <c r="Z54" i="6"/>
  <c r="V54" i="6"/>
  <c r="U55" i="6"/>
  <c r="U54" i="6"/>
  <c r="T55" i="6"/>
  <c r="T54" i="6"/>
  <c r="P54" i="6"/>
  <c r="O55" i="6"/>
  <c r="O54" i="6"/>
  <c r="N55" i="6"/>
  <c r="N54" i="6"/>
  <c r="J54" i="6"/>
  <c r="I55" i="6"/>
  <c r="I54" i="6"/>
  <c r="H55" i="6"/>
  <c r="H54" i="6"/>
  <c r="D54" i="6"/>
  <c r="AF17" i="6"/>
  <c r="Z14" i="6" s="1"/>
  <c r="AF18" i="6"/>
  <c r="AF22" i="6"/>
  <c r="AB19" i="6" s="1"/>
  <c r="AF23" i="6"/>
  <c r="AF27" i="6"/>
  <c r="AD24" i="6" s="1"/>
  <c r="AF28" i="6"/>
  <c r="AF33" i="6"/>
  <c r="AF32" i="6"/>
  <c r="Z29" i="6" s="1"/>
  <c r="AF37" i="6"/>
  <c r="AA35" i="6" s="1"/>
  <c r="AF38" i="6"/>
  <c r="AF42" i="6"/>
  <c r="AC40" i="6" s="1"/>
  <c r="AF43" i="6"/>
  <c r="AF48" i="6"/>
  <c r="AF47" i="6"/>
  <c r="AE45" i="6" s="1"/>
  <c r="AF52" i="6"/>
  <c r="AC49" i="6" s="1"/>
  <c r="AF53" i="6"/>
  <c r="AF57" i="6"/>
  <c r="AC55" i="6" s="1"/>
  <c r="AF58" i="6"/>
  <c r="AF62" i="6"/>
  <c r="AE60" i="6" s="1"/>
  <c r="AF63" i="6"/>
  <c r="AF68" i="6"/>
  <c r="AF67" i="6"/>
  <c r="AA65" i="6" s="1"/>
  <c r="AF73" i="6"/>
  <c r="AF72" i="6"/>
  <c r="AC70" i="6" s="1"/>
  <c r="AF78" i="6"/>
  <c r="AF77" i="6"/>
  <c r="AE75" i="6" s="1"/>
  <c r="D10" i="7" l="1"/>
  <c r="AA40" i="7"/>
  <c r="AC65" i="7"/>
  <c r="O10" i="7"/>
  <c r="I10" i="7"/>
  <c r="U10" i="7"/>
  <c r="R50" i="7"/>
  <c r="AA39" i="7"/>
  <c r="AA10" i="7"/>
  <c r="J9" i="7"/>
  <c r="V9" i="7"/>
  <c r="AB9" i="7"/>
  <c r="J10" i="7"/>
  <c r="Q9" i="7"/>
  <c r="R10" i="7"/>
  <c r="G9" i="7"/>
  <c r="M9" i="7"/>
  <c r="Y9" i="7"/>
  <c r="D30" i="7"/>
  <c r="R64" i="7"/>
  <c r="H9" i="7"/>
  <c r="N9" i="7"/>
  <c r="T9" i="7"/>
  <c r="Z9" i="7"/>
  <c r="E9" i="7"/>
  <c r="K9" i="7"/>
  <c r="AC9" i="7"/>
  <c r="L9" i="7"/>
  <c r="AD9" i="7"/>
  <c r="L10" i="7"/>
  <c r="X10" i="7"/>
  <c r="P64" i="7"/>
  <c r="S9" i="7"/>
  <c r="AC30" i="7"/>
  <c r="E65" i="7"/>
  <c r="H10" i="7"/>
  <c r="N10" i="7"/>
  <c r="T10" i="7"/>
  <c r="Z10" i="7"/>
  <c r="P9" i="7"/>
  <c r="P10" i="7"/>
  <c r="V10" i="7"/>
  <c r="AB10" i="7"/>
  <c r="W9" i="7"/>
  <c r="F10" i="7"/>
  <c r="AD10" i="7"/>
  <c r="F65" i="7"/>
  <c r="I9" i="7"/>
  <c r="O9" i="7"/>
  <c r="U9" i="7"/>
  <c r="AA9" i="7"/>
  <c r="E10" i="7"/>
  <c r="E11" i="7" s="1" a="1"/>
  <c r="E11" i="7" s="1"/>
  <c r="K10" i="7"/>
  <c r="Q10" i="7"/>
  <c r="W10" i="7"/>
  <c r="AC10" i="7"/>
  <c r="F9" i="7"/>
  <c r="R9" i="7"/>
  <c r="X9" i="7"/>
  <c r="AE9" i="7"/>
  <c r="AE29" i="7"/>
  <c r="K40" i="7"/>
  <c r="Q64" i="7"/>
  <c r="G10" i="7"/>
  <c r="M10" i="7"/>
  <c r="S10" i="7"/>
  <c r="Y10" i="7"/>
  <c r="AE10" i="7"/>
  <c r="Y60" i="7"/>
  <c r="AD65" i="7"/>
  <c r="M29" i="7"/>
  <c r="Z29" i="7"/>
  <c r="X39" i="7"/>
  <c r="Y44" i="7"/>
  <c r="H65" i="7"/>
  <c r="S64" i="7"/>
  <c r="N65" i="7"/>
  <c r="T64" i="7"/>
  <c r="O65" i="7"/>
  <c r="D64" i="7"/>
  <c r="U64" i="7"/>
  <c r="P65" i="7"/>
  <c r="AH12" i="7"/>
  <c r="AN12" i="7" s="1"/>
  <c r="E64" i="7"/>
  <c r="V64" i="7"/>
  <c r="Q65" i="7"/>
  <c r="F64" i="7"/>
  <c r="AB64" i="7"/>
  <c r="R65" i="7"/>
  <c r="G64" i="7"/>
  <c r="AC64" i="7"/>
  <c r="T65" i="7"/>
  <c r="H64" i="7"/>
  <c r="AD64" i="7"/>
  <c r="U65" i="7"/>
  <c r="H29" i="7"/>
  <c r="I64" i="7"/>
  <c r="AE64" i="7"/>
  <c r="V65" i="7"/>
  <c r="L29" i="7"/>
  <c r="N60" i="7"/>
  <c r="O64" i="7"/>
  <c r="D65" i="7"/>
  <c r="AB65" i="7"/>
  <c r="K34" i="7"/>
  <c r="L40" i="7"/>
  <c r="J30" i="7"/>
  <c r="L34" i="7"/>
  <c r="K39" i="7"/>
  <c r="M40" i="7"/>
  <c r="AA44" i="7"/>
  <c r="L30" i="7"/>
  <c r="AC34" i="7"/>
  <c r="L39" i="7"/>
  <c r="O40" i="7"/>
  <c r="AD44" i="7"/>
  <c r="T30" i="7"/>
  <c r="AE34" i="7"/>
  <c r="M39" i="7"/>
  <c r="X40" i="7"/>
  <c r="G34" i="7"/>
  <c r="I39" i="7"/>
  <c r="G29" i="7"/>
  <c r="AA30" i="7"/>
  <c r="D35" i="7"/>
  <c r="N39" i="7"/>
  <c r="Y40" i="7"/>
  <c r="Y35" i="7"/>
  <c r="I29" i="7"/>
  <c r="AD30" i="7"/>
  <c r="AA35" i="7"/>
  <c r="Y39" i="7"/>
  <c r="AB40" i="7"/>
  <c r="O60" i="7"/>
  <c r="AB35" i="7"/>
  <c r="Z39" i="7"/>
  <c r="AC40" i="7"/>
  <c r="Q49" i="7"/>
  <c r="X60" i="7"/>
  <c r="AB39" i="7"/>
  <c r="AD29" i="7"/>
  <c r="J40" i="7"/>
  <c r="D55" i="7"/>
  <c r="AD59" i="7"/>
  <c r="D59" i="7"/>
  <c r="AB54" i="7"/>
  <c r="S59" i="7"/>
  <c r="AC54" i="7"/>
  <c r="AC59" i="7"/>
  <c r="AB29" i="7"/>
  <c r="H55" i="7"/>
  <c r="M60" i="7"/>
  <c r="Z60" i="7"/>
  <c r="U45" i="7"/>
  <c r="R54" i="7"/>
  <c r="O59" i="7"/>
  <c r="Y19" i="7"/>
  <c r="J29" i="7"/>
  <c r="AB30" i="7"/>
  <c r="W45" i="7"/>
  <c r="T54" i="7"/>
  <c r="P59" i="7"/>
  <c r="V69" i="7"/>
  <c r="Q70" i="7"/>
  <c r="K15" i="7"/>
  <c r="G35" i="7"/>
  <c r="J69" i="7"/>
  <c r="P39" i="7"/>
  <c r="AE39" i="7"/>
  <c r="Q40" i="7"/>
  <c r="O69" i="7"/>
  <c r="N30" i="7"/>
  <c r="L54" i="7"/>
  <c r="T55" i="7"/>
  <c r="L64" i="7"/>
  <c r="Y64" i="7"/>
  <c r="J65" i="7"/>
  <c r="Y65" i="7"/>
  <c r="S69" i="7"/>
  <c r="I70" i="7"/>
  <c r="AB70" i="7"/>
  <c r="H15" i="7"/>
  <c r="T70" i="7"/>
  <c r="Q39" i="7"/>
  <c r="P55" i="7"/>
  <c r="X14" i="7"/>
  <c r="V15" i="7"/>
  <c r="V29" i="7"/>
  <c r="X34" i="7"/>
  <c r="E39" i="7"/>
  <c r="G40" i="7"/>
  <c r="Y14" i="7"/>
  <c r="W15" i="7"/>
  <c r="X29" i="7"/>
  <c r="Q30" i="7"/>
  <c r="D34" i="7"/>
  <c r="Z34" i="7"/>
  <c r="V35" i="7"/>
  <c r="G39" i="7"/>
  <c r="U39" i="7"/>
  <c r="H40" i="7"/>
  <c r="V40" i="7"/>
  <c r="K49" i="7"/>
  <c r="M54" i="7"/>
  <c r="V55" i="7"/>
  <c r="AA59" i="7"/>
  <c r="AH62" i="7"/>
  <c r="AN62" i="7" s="1"/>
  <c r="M64" i="7"/>
  <c r="Z64" i="7"/>
  <c r="K65" i="7"/>
  <c r="Z65" i="7"/>
  <c r="T69" i="7"/>
  <c r="L70" i="7"/>
  <c r="AD70" i="7"/>
  <c r="AA14" i="7"/>
  <c r="F69" i="7"/>
  <c r="H69" i="7"/>
  <c r="J15" i="7"/>
  <c r="N34" i="7"/>
  <c r="AC69" i="7"/>
  <c r="O14" i="7"/>
  <c r="O15" i="7"/>
  <c r="AH32" i="7"/>
  <c r="AN32" i="7" s="1"/>
  <c r="Q34" i="7"/>
  <c r="M35" i="7"/>
  <c r="D70" i="7"/>
  <c r="T15" i="7"/>
  <c r="N29" i="7"/>
  <c r="O35" i="7"/>
  <c r="D40" i="7"/>
  <c r="AH42" i="7"/>
  <c r="AN42" i="7" s="1"/>
  <c r="P30" i="7"/>
  <c r="S35" i="7"/>
  <c r="T39" i="7"/>
  <c r="U40" i="7"/>
  <c r="Z14" i="7"/>
  <c r="X15" i="7"/>
  <c r="Y29" i="7"/>
  <c r="R30" i="7"/>
  <c r="F34" i="7"/>
  <c r="AB34" i="7"/>
  <c r="X35" i="7"/>
  <c r="H39" i="7"/>
  <c r="W39" i="7"/>
  <c r="I40" i="7"/>
  <c r="W40" i="7"/>
  <c r="F44" i="7"/>
  <c r="N49" i="7"/>
  <c r="P54" i="7"/>
  <c r="X55" i="7"/>
  <c r="AB59" i="7"/>
  <c r="N64" i="7"/>
  <c r="AA64" i="7"/>
  <c r="M65" i="7"/>
  <c r="AA65" i="7"/>
  <c r="D69" i="7"/>
  <c r="U69" i="7"/>
  <c r="M70" i="7"/>
  <c r="AB14" i="7"/>
  <c r="H34" i="7"/>
  <c r="AD34" i="7"/>
  <c r="Z35" i="7"/>
  <c r="V49" i="7"/>
  <c r="G69" i="7"/>
  <c r="X69" i="7"/>
  <c r="O70" i="7"/>
  <c r="AE50" i="7"/>
  <c r="I69" i="7"/>
  <c r="AB69" i="7"/>
  <c r="R70" i="7"/>
  <c r="L14" i="7"/>
  <c r="N14" i="7"/>
  <c r="L15" i="7"/>
  <c r="P34" i="7"/>
  <c r="J35" i="7"/>
  <c r="O39" i="7"/>
  <c r="AC39" i="7"/>
  <c r="P40" i="7"/>
  <c r="AE40" i="7"/>
  <c r="G55" i="7"/>
  <c r="N69" i="7"/>
  <c r="AD69" i="7"/>
  <c r="V70" i="7"/>
  <c r="N70" i="7"/>
  <c r="AA69" i="7"/>
  <c r="D14" i="7"/>
  <c r="Y70" i="7"/>
  <c r="P14" i="7"/>
  <c r="R34" i="7"/>
  <c r="S40" i="7"/>
  <c r="P69" i="7"/>
  <c r="E70" i="7"/>
  <c r="Z70" i="7"/>
  <c r="S14" i="7"/>
  <c r="U15" i="7"/>
  <c r="P29" i="7"/>
  <c r="O30" i="7"/>
  <c r="T34" i="7"/>
  <c r="P35" i="7"/>
  <c r="D39" i="7"/>
  <c r="S39" i="7"/>
  <c r="E40" i="7"/>
  <c r="T40" i="7"/>
  <c r="D54" i="7"/>
  <c r="R55" i="7"/>
  <c r="Q59" i="7"/>
  <c r="AA60" i="7"/>
  <c r="J64" i="7"/>
  <c r="X64" i="7"/>
  <c r="I65" i="7"/>
  <c r="W65" i="7"/>
  <c r="Q69" i="7"/>
  <c r="F70" i="7"/>
  <c r="AA70" i="7"/>
  <c r="G14" i="7"/>
  <c r="AE14" i="7"/>
  <c r="AA15" i="7"/>
  <c r="G20" i="7"/>
  <c r="R29" i="7"/>
  <c r="E30" i="7"/>
  <c r="U30" i="7"/>
  <c r="S34" i="7"/>
  <c r="L35" i="7"/>
  <c r="AE35" i="7"/>
  <c r="G50" i="7"/>
  <c r="F54" i="7"/>
  <c r="W54" i="7"/>
  <c r="J55" i="7"/>
  <c r="Z55" i="7"/>
  <c r="H70" i="7"/>
  <c r="U70" i="7"/>
  <c r="E20" i="7"/>
  <c r="F20" i="7"/>
  <c r="E54" i="7"/>
  <c r="Y55" i="7"/>
  <c r="U20" i="7"/>
  <c r="D29" i="7"/>
  <c r="S29" i="7"/>
  <c r="F30" i="7"/>
  <c r="V30" i="7"/>
  <c r="I50" i="7"/>
  <c r="H54" i="7"/>
  <c r="X54" i="7"/>
  <c r="L55" i="7"/>
  <c r="AB55" i="7"/>
  <c r="V54" i="7"/>
  <c r="I55" i="7"/>
  <c r="M14" i="7"/>
  <c r="I15" i="7"/>
  <c r="AC20" i="7"/>
  <c r="E29" i="7"/>
  <c r="T29" i="7"/>
  <c r="H30" i="7"/>
  <c r="X30" i="7"/>
  <c r="E34" i="7"/>
  <c r="W34" i="7"/>
  <c r="N35" i="7"/>
  <c r="J50" i="7"/>
  <c r="J54" i="7"/>
  <c r="Y54" i="7"/>
  <c r="M55" i="7"/>
  <c r="AD55" i="7"/>
  <c r="L69" i="7"/>
  <c r="Y69" i="7"/>
  <c r="J70" i="7"/>
  <c r="W70" i="7"/>
  <c r="AH72" i="7"/>
  <c r="AN72" i="7" s="1"/>
  <c r="AD20" i="7"/>
  <c r="F29" i="7"/>
  <c r="U29" i="7"/>
  <c r="I30" i="7"/>
  <c r="Z30" i="7"/>
  <c r="M50" i="7"/>
  <c r="K54" i="7"/>
  <c r="Z54" i="7"/>
  <c r="N55" i="7"/>
  <c r="AE55" i="7"/>
  <c r="K64" i="7"/>
  <c r="W64" i="7"/>
  <c r="G65" i="7"/>
  <c r="S65" i="7"/>
  <c r="AE65" i="7"/>
  <c r="AH67" i="7"/>
  <c r="AN67" i="7" s="1"/>
  <c r="M69" i="7"/>
  <c r="Z69" i="7"/>
  <c r="K70" i="7"/>
  <c r="X70" i="7"/>
  <c r="AE20" i="7"/>
  <c r="I19" i="7"/>
  <c r="N54" i="7"/>
  <c r="AD54" i="7"/>
  <c r="S55" i="7"/>
  <c r="K75" i="7"/>
  <c r="J19" i="7"/>
  <c r="K19" i="7"/>
  <c r="M49" i="7"/>
  <c r="Q54" i="7"/>
  <c r="F55" i="7"/>
  <c r="U55" i="7"/>
  <c r="L65" i="7"/>
  <c r="E69" i="7"/>
  <c r="R69" i="7"/>
  <c r="AE69" i="7"/>
  <c r="P70" i="7"/>
  <c r="AC70" i="7"/>
  <c r="O24" i="7"/>
  <c r="T24" i="7"/>
  <c r="Q25" i="7"/>
  <c r="X45" i="7"/>
  <c r="L45" i="7"/>
  <c r="AB44" i="7"/>
  <c r="P44" i="7"/>
  <c r="D44" i="7"/>
  <c r="AD45" i="7"/>
  <c r="R45" i="7"/>
  <c r="F45" i="7"/>
  <c r="V44" i="7"/>
  <c r="J44" i="7"/>
  <c r="AC45" i="7"/>
  <c r="Q45" i="7"/>
  <c r="E45" i="7"/>
  <c r="U44" i="7"/>
  <c r="I44" i="7"/>
  <c r="AB45" i="7"/>
  <c r="P45" i="7"/>
  <c r="D45" i="7"/>
  <c r="T44" i="7"/>
  <c r="H44" i="7"/>
  <c r="AA45" i="7"/>
  <c r="O45" i="7"/>
  <c r="S44" i="7"/>
  <c r="G44" i="7"/>
  <c r="AE44" i="7"/>
  <c r="Y45" i="7"/>
  <c r="M45" i="7"/>
  <c r="AC44" i="7"/>
  <c r="Q44" i="7"/>
  <c r="E44" i="7"/>
  <c r="U19" i="7"/>
  <c r="Q20" i="7"/>
  <c r="X24" i="7"/>
  <c r="T25" i="7"/>
  <c r="O44" i="7"/>
  <c r="K45" i="7"/>
  <c r="Y49" i="7"/>
  <c r="U50" i="7"/>
  <c r="F59" i="7"/>
  <c r="K60" i="7"/>
  <c r="P74" i="7"/>
  <c r="X75" i="7"/>
  <c r="L24" i="7"/>
  <c r="P25" i="7"/>
  <c r="L19" i="7"/>
  <c r="U24" i="7"/>
  <c r="L44" i="7"/>
  <c r="I20" i="7"/>
  <c r="V19" i="7"/>
  <c r="R20" i="7"/>
  <c r="AA24" i="7"/>
  <c r="W25" i="7"/>
  <c r="R44" i="7"/>
  <c r="N45" i="7"/>
  <c r="Z49" i="7"/>
  <c r="V50" i="7"/>
  <c r="G59" i="7"/>
  <c r="Q74" i="7"/>
  <c r="Y75" i="7"/>
  <c r="W44" i="7"/>
  <c r="S45" i="7"/>
  <c r="E49" i="7"/>
  <c r="AC49" i="7"/>
  <c r="Y50" i="7"/>
  <c r="Z74" i="7"/>
  <c r="K25" i="7"/>
  <c r="W19" i="7"/>
  <c r="S20" i="7"/>
  <c r="H24" i="7"/>
  <c r="D25" i="7"/>
  <c r="AB25" i="7"/>
  <c r="X19" i="7"/>
  <c r="T20" i="7"/>
  <c r="I24" i="7"/>
  <c r="E25" i="7"/>
  <c r="AC25" i="7"/>
  <c r="X44" i="7"/>
  <c r="T45" i="7"/>
  <c r="J49" i="7"/>
  <c r="F50" i="7"/>
  <c r="AD50" i="7"/>
  <c r="AB60" i="7"/>
  <c r="P60" i="7"/>
  <c r="D60" i="7"/>
  <c r="T59" i="7"/>
  <c r="H59" i="7"/>
  <c r="V60" i="7"/>
  <c r="J60" i="7"/>
  <c r="Z59" i="7"/>
  <c r="N59" i="7"/>
  <c r="U60" i="7"/>
  <c r="I60" i="7"/>
  <c r="Y59" i="7"/>
  <c r="M59" i="7"/>
  <c r="T60" i="7"/>
  <c r="H60" i="7"/>
  <c r="X59" i="7"/>
  <c r="L59" i="7"/>
  <c r="AE60" i="7"/>
  <c r="S60" i="7"/>
  <c r="W59" i="7"/>
  <c r="K59" i="7"/>
  <c r="R60" i="7"/>
  <c r="J59" i="7"/>
  <c r="G60" i="7"/>
  <c r="AD60" i="7"/>
  <c r="F60" i="7"/>
  <c r="V59" i="7"/>
  <c r="AC60" i="7"/>
  <c r="Q60" i="7"/>
  <c r="E60" i="7"/>
  <c r="U59" i="7"/>
  <c r="I59" i="7"/>
  <c r="AA74" i="7"/>
  <c r="AD25" i="7"/>
  <c r="AB74" i="7"/>
  <c r="J24" i="7"/>
  <c r="F25" i="7"/>
  <c r="D19" i="7"/>
  <c r="AB19" i="7"/>
  <c r="X20" i="7"/>
  <c r="K24" i="7"/>
  <c r="G25" i="7"/>
  <c r="Z44" i="7"/>
  <c r="V45" i="7"/>
  <c r="L49" i="7"/>
  <c r="R59" i="7"/>
  <c r="W60" i="7"/>
  <c r="AC74" i="7"/>
  <c r="AH27" i="7"/>
  <c r="AN27" i="7" s="1"/>
  <c r="U25" i="7"/>
  <c r="I25" i="7"/>
  <c r="Y24" i="7"/>
  <c r="M24" i="7"/>
  <c r="AA25" i="7"/>
  <c r="O25" i="7"/>
  <c r="AE24" i="7"/>
  <c r="S24" i="7"/>
  <c r="G24" i="7"/>
  <c r="Z25" i="7"/>
  <c r="N25" i="7"/>
  <c r="AD24" i="7"/>
  <c r="R24" i="7"/>
  <c r="F24" i="7"/>
  <c r="Y25" i="7"/>
  <c r="M25" i="7"/>
  <c r="AC24" i="7"/>
  <c r="Q24" i="7"/>
  <c r="E24" i="7"/>
  <c r="X25" i="7"/>
  <c r="AB24" i="7"/>
  <c r="D24" i="7"/>
  <c r="L25" i="7"/>
  <c r="P24" i="7"/>
  <c r="V25" i="7"/>
  <c r="J25" i="7"/>
  <c r="Z24" i="7"/>
  <c r="N24" i="7"/>
  <c r="AN73" i="7"/>
  <c r="AA75" i="7"/>
  <c r="O75" i="7"/>
  <c r="AE74" i="7"/>
  <c r="S74" i="7"/>
  <c r="G74" i="7"/>
  <c r="Z75" i="7"/>
  <c r="N75" i="7"/>
  <c r="AD74" i="7"/>
  <c r="R74" i="7"/>
  <c r="F74" i="7"/>
  <c r="U75" i="7"/>
  <c r="I75" i="7"/>
  <c r="Y74" i="7"/>
  <c r="M74" i="7"/>
  <c r="T75" i="7"/>
  <c r="H75" i="7"/>
  <c r="X74" i="7"/>
  <c r="L74" i="7"/>
  <c r="AE75" i="7"/>
  <c r="S75" i="7"/>
  <c r="G75" i="7"/>
  <c r="W74" i="7"/>
  <c r="K74" i="7"/>
  <c r="I74" i="7"/>
  <c r="AD75" i="7"/>
  <c r="R75" i="7"/>
  <c r="F75" i="7"/>
  <c r="V74" i="7"/>
  <c r="J74" i="7"/>
  <c r="AC75" i="7"/>
  <c r="Q75" i="7"/>
  <c r="E75" i="7"/>
  <c r="U74" i="7"/>
  <c r="AB75" i="7"/>
  <c r="P75" i="7"/>
  <c r="D75" i="7"/>
  <c r="T74" i="7"/>
  <c r="H74" i="7"/>
  <c r="K44" i="7"/>
  <c r="G45" i="7"/>
  <c r="AE45" i="7"/>
  <c r="D74" i="7"/>
  <c r="L75" i="7"/>
  <c r="AH77" i="7"/>
  <c r="AN77" i="7" s="1"/>
  <c r="H25" i="7"/>
  <c r="H45" i="7"/>
  <c r="E74" i="7"/>
  <c r="M75" i="7"/>
  <c r="V24" i="7"/>
  <c r="W50" i="7"/>
  <c r="K50" i="7"/>
  <c r="AA49" i="7"/>
  <c r="O49" i="7"/>
  <c r="AC50" i="7"/>
  <c r="Q50" i="7"/>
  <c r="E50" i="7"/>
  <c r="U49" i="7"/>
  <c r="I49" i="7"/>
  <c r="AB50" i="7"/>
  <c r="P50" i="7"/>
  <c r="D50" i="7"/>
  <c r="T49" i="7"/>
  <c r="H49" i="7"/>
  <c r="AA50" i="7"/>
  <c r="O50" i="7"/>
  <c r="AE49" i="7"/>
  <c r="S49" i="7"/>
  <c r="G49" i="7"/>
  <c r="Z50" i="7"/>
  <c r="N50" i="7"/>
  <c r="R49" i="7"/>
  <c r="AD49" i="7"/>
  <c r="F49" i="7"/>
  <c r="X50" i="7"/>
  <c r="L50" i="7"/>
  <c r="AB49" i="7"/>
  <c r="P49" i="7"/>
  <c r="D49" i="7"/>
  <c r="N74" i="7"/>
  <c r="V75" i="7"/>
  <c r="V20" i="7"/>
  <c r="J20" i="7"/>
  <c r="Z19" i="7"/>
  <c r="N19" i="7"/>
  <c r="AB20" i="7"/>
  <c r="P20" i="7"/>
  <c r="D20" i="7"/>
  <c r="T19" i="7"/>
  <c r="H19" i="7"/>
  <c r="AA20" i="7"/>
  <c r="O20" i="7"/>
  <c r="AE19" i="7"/>
  <c r="S19" i="7"/>
  <c r="G19" i="7"/>
  <c r="Z20" i="7"/>
  <c r="N20" i="7"/>
  <c r="AD19" i="7"/>
  <c r="R19" i="7"/>
  <c r="F19" i="7"/>
  <c r="M20" i="7"/>
  <c r="Q19" i="7"/>
  <c r="Y20" i="7"/>
  <c r="AC19" i="7"/>
  <c r="E19" i="7"/>
  <c r="W20" i="7"/>
  <c r="K20" i="7"/>
  <c r="AA19" i="7"/>
  <c r="O19" i="7"/>
  <c r="M19" i="7"/>
  <c r="AH22" i="7"/>
  <c r="AN22" i="7" s="1"/>
  <c r="R25" i="7"/>
  <c r="M44" i="7"/>
  <c r="I45" i="7"/>
  <c r="AH47" i="7"/>
  <c r="AN47" i="7" s="1"/>
  <c r="W49" i="7"/>
  <c r="S50" i="7"/>
  <c r="Y15" i="7"/>
  <c r="M15" i="7"/>
  <c r="AC14" i="7"/>
  <c r="Q14" i="7"/>
  <c r="E14" i="7"/>
  <c r="AE15" i="7"/>
  <c r="S15" i="7"/>
  <c r="G15" i="7"/>
  <c r="W14" i="7"/>
  <c r="K14" i="7"/>
  <c r="AD15" i="7"/>
  <c r="R15" i="7"/>
  <c r="F15" i="7"/>
  <c r="V14" i="7"/>
  <c r="J14" i="7"/>
  <c r="AC15" i="7"/>
  <c r="Q15" i="7"/>
  <c r="E15" i="7"/>
  <c r="U14" i="7"/>
  <c r="I14" i="7"/>
  <c r="AB15" i="7"/>
  <c r="T14" i="7"/>
  <c r="P15" i="7"/>
  <c r="D15" i="7"/>
  <c r="H14" i="7"/>
  <c r="Z15" i="7"/>
  <c r="N15" i="7"/>
  <c r="AD14" i="7"/>
  <c r="R14" i="7"/>
  <c r="F14" i="7"/>
  <c r="P19" i="7"/>
  <c r="L20" i="7"/>
  <c r="W24" i="7"/>
  <c r="S25" i="7"/>
  <c r="N44" i="7"/>
  <c r="J45" i="7"/>
  <c r="X49" i="7"/>
  <c r="T50" i="7"/>
  <c r="AH52" i="7"/>
  <c r="AN52" i="7" s="1"/>
  <c r="E59" i="7"/>
  <c r="AE59" i="7"/>
  <c r="O74" i="7"/>
  <c r="W75" i="7"/>
  <c r="J34" i="7"/>
  <c r="V34" i="7"/>
  <c r="F35" i="7"/>
  <c r="R35" i="7"/>
  <c r="AD35" i="7"/>
  <c r="H35" i="7"/>
  <c r="T35" i="7"/>
  <c r="O29" i="7"/>
  <c r="AA29" i="7"/>
  <c r="K30" i="7"/>
  <c r="W30" i="7"/>
  <c r="M34" i="7"/>
  <c r="Y34" i="7"/>
  <c r="I35" i="7"/>
  <c r="U35" i="7"/>
  <c r="AH37" i="7"/>
  <c r="AN37" i="7" s="1"/>
  <c r="J39" i="7"/>
  <c r="V39" i="7"/>
  <c r="F40" i="7"/>
  <c r="R40" i="7"/>
  <c r="AD40" i="7"/>
  <c r="G54" i="7"/>
  <c r="S54" i="7"/>
  <c r="AE54" i="7"/>
  <c r="O55" i="7"/>
  <c r="AA55" i="7"/>
  <c r="AH57" i="7"/>
  <c r="AN57" i="7" s="1"/>
  <c r="Q29" i="7"/>
  <c r="AC29" i="7"/>
  <c r="M30" i="7"/>
  <c r="Y30" i="7"/>
  <c r="O34" i="7"/>
  <c r="AA34" i="7"/>
  <c r="K35" i="7"/>
  <c r="W35" i="7"/>
  <c r="I54" i="7"/>
  <c r="U54" i="7"/>
  <c r="E55" i="7"/>
  <c r="Q55" i="7"/>
  <c r="AC55" i="7"/>
  <c r="K29" i="7"/>
  <c r="W29" i="7"/>
  <c r="G30" i="7"/>
  <c r="S30" i="7"/>
  <c r="I34" i="7"/>
  <c r="U34" i="7"/>
  <c r="E35" i="7"/>
  <c r="Q35" i="7"/>
  <c r="F39" i="7"/>
  <c r="R39" i="7"/>
  <c r="AD39" i="7"/>
  <c r="N40" i="7"/>
  <c r="AN53" i="7"/>
  <c r="O54" i="7"/>
  <c r="AA54" i="7"/>
  <c r="K55" i="7"/>
  <c r="AN63" i="7"/>
  <c r="K69" i="7"/>
  <c r="W69" i="7"/>
  <c r="G70" i="7"/>
  <c r="S70" i="7"/>
  <c r="AN13" i="7"/>
  <c r="AN33" i="7"/>
  <c r="AN38" i="7"/>
  <c r="AN17" i="7"/>
  <c r="AN28" i="7"/>
  <c r="AN68" i="7"/>
  <c r="AN78" i="7"/>
  <c r="AN48" i="7"/>
  <c r="AN58" i="7"/>
  <c r="AN43" i="7"/>
  <c r="F64" i="6"/>
  <c r="R64" i="6"/>
  <c r="L65" i="6"/>
  <c r="G64" i="6"/>
  <c r="Y64" i="6"/>
  <c r="K60" i="6"/>
  <c r="M65" i="6"/>
  <c r="F59" i="6"/>
  <c r="AD59" i="6"/>
  <c r="Z64" i="6"/>
  <c r="H65" i="6"/>
  <c r="F54" i="6"/>
  <c r="L54" i="6"/>
  <c r="R54" i="6"/>
  <c r="X54" i="6"/>
  <c r="AD54" i="6"/>
  <c r="H59" i="6"/>
  <c r="N59" i="6"/>
  <c r="T59" i="6"/>
  <c r="Z59" i="6"/>
  <c r="D64" i="6"/>
  <c r="J64" i="6"/>
  <c r="P64" i="6"/>
  <c r="V64" i="6"/>
  <c r="AB64" i="6"/>
  <c r="H74" i="6"/>
  <c r="N74" i="6"/>
  <c r="T74" i="6"/>
  <c r="Z74" i="6"/>
  <c r="F65" i="6"/>
  <c r="X65" i="6"/>
  <c r="AE64" i="6"/>
  <c r="W60" i="6"/>
  <c r="S65" i="6"/>
  <c r="L59" i="6"/>
  <c r="H64" i="6"/>
  <c r="D55" i="6"/>
  <c r="V55" i="6"/>
  <c r="F60" i="6"/>
  <c r="X60" i="6"/>
  <c r="N65" i="6"/>
  <c r="Z65" i="6"/>
  <c r="F55" i="6"/>
  <c r="L55" i="6"/>
  <c r="R55" i="6"/>
  <c r="X55" i="6"/>
  <c r="AD55" i="6"/>
  <c r="H60" i="6"/>
  <c r="N60" i="6"/>
  <c r="T60" i="6"/>
  <c r="Z60" i="6"/>
  <c r="D65" i="6"/>
  <c r="J65" i="6"/>
  <c r="P65" i="6"/>
  <c r="V65" i="6"/>
  <c r="AB65" i="6"/>
  <c r="H75" i="6"/>
  <c r="N75" i="6"/>
  <c r="T75" i="6"/>
  <c r="Z75" i="6"/>
  <c r="G54" i="6"/>
  <c r="M54" i="6"/>
  <c r="S54" i="6"/>
  <c r="Y54" i="6"/>
  <c r="AE54" i="6"/>
  <c r="I59" i="6"/>
  <c r="O59" i="6"/>
  <c r="U59" i="6"/>
  <c r="AA59" i="6"/>
  <c r="E64" i="6"/>
  <c r="K64" i="6"/>
  <c r="Q64" i="6"/>
  <c r="W64" i="6"/>
  <c r="AC64" i="6"/>
  <c r="G69" i="6"/>
  <c r="M69" i="6"/>
  <c r="S69" i="6"/>
  <c r="Y69" i="6"/>
  <c r="AE69" i="6"/>
  <c r="I74" i="6"/>
  <c r="O74" i="6"/>
  <c r="U74" i="6"/>
  <c r="AA74" i="6"/>
  <c r="L64" i="6"/>
  <c r="X64" i="6"/>
  <c r="AD64" i="6"/>
  <c r="AD65" i="6"/>
  <c r="M64" i="6"/>
  <c r="E60" i="6"/>
  <c r="AC60" i="6"/>
  <c r="AE65" i="6"/>
  <c r="R59" i="6"/>
  <c r="N64" i="6"/>
  <c r="J55" i="6"/>
  <c r="G55" i="6"/>
  <c r="M55" i="6"/>
  <c r="S55" i="6"/>
  <c r="Y55" i="6"/>
  <c r="AE55" i="6"/>
  <c r="I60" i="6"/>
  <c r="O60" i="6"/>
  <c r="U60" i="6"/>
  <c r="AA60" i="6"/>
  <c r="E65" i="6"/>
  <c r="K65" i="6"/>
  <c r="Q65" i="6"/>
  <c r="W65" i="6"/>
  <c r="AC65" i="6"/>
  <c r="I75" i="6"/>
  <c r="O75" i="6"/>
  <c r="U75" i="6"/>
  <c r="AA75" i="6"/>
  <c r="R65" i="6"/>
  <c r="S64" i="6"/>
  <c r="Q60" i="6"/>
  <c r="G65" i="6"/>
  <c r="Y65" i="6"/>
  <c r="X59" i="6"/>
  <c r="T64" i="6"/>
  <c r="P55" i="6"/>
  <c r="AB55" i="6"/>
  <c r="L60" i="6"/>
  <c r="R60" i="6"/>
  <c r="AD60" i="6"/>
  <c r="T65" i="6"/>
  <c r="R75" i="6"/>
  <c r="X75" i="6"/>
  <c r="AD75" i="6"/>
  <c r="E54" i="6"/>
  <c r="K54" i="6"/>
  <c r="Q54" i="6"/>
  <c r="W54" i="6"/>
  <c r="AC54" i="6"/>
  <c r="G59" i="6"/>
  <c r="M59" i="6"/>
  <c r="S59" i="6"/>
  <c r="Y59" i="6"/>
  <c r="AE59" i="6"/>
  <c r="I64" i="6"/>
  <c r="O64" i="6"/>
  <c r="U64" i="6"/>
  <c r="AA64" i="6"/>
  <c r="G74" i="6"/>
  <c r="M74" i="6"/>
  <c r="S74" i="6"/>
  <c r="Y74" i="6"/>
  <c r="AE74" i="6"/>
  <c r="E55" i="6"/>
  <c r="K55" i="6"/>
  <c r="Q55" i="6"/>
  <c r="W55" i="6"/>
  <c r="G60" i="6"/>
  <c r="M60" i="6"/>
  <c r="S60" i="6"/>
  <c r="Y60" i="6"/>
  <c r="I65" i="6"/>
  <c r="O65" i="6"/>
  <c r="U65" i="6"/>
  <c r="E70" i="6"/>
  <c r="K70" i="6"/>
  <c r="Q70" i="6"/>
  <c r="W70" i="6"/>
  <c r="G75" i="6"/>
  <c r="M75" i="6"/>
  <c r="S75" i="6"/>
  <c r="Y75" i="6"/>
  <c r="I50" i="6"/>
  <c r="V50" i="6"/>
  <c r="F49" i="6"/>
  <c r="R49" i="6"/>
  <c r="AD49" i="6"/>
  <c r="H15" i="6"/>
  <c r="N15" i="6"/>
  <c r="T15" i="6"/>
  <c r="Z15" i="6"/>
  <c r="E19" i="6"/>
  <c r="J20" i="6"/>
  <c r="P20" i="6"/>
  <c r="V20" i="6"/>
  <c r="AB20" i="6"/>
  <c r="F25" i="6"/>
  <c r="L25" i="6"/>
  <c r="R25" i="6"/>
  <c r="X25" i="6"/>
  <c r="AD25" i="6"/>
  <c r="H30" i="6"/>
  <c r="N30" i="6"/>
  <c r="T30" i="6"/>
  <c r="Z30" i="6"/>
  <c r="D34" i="6"/>
  <c r="J34" i="6"/>
  <c r="P34" i="6"/>
  <c r="V34" i="6"/>
  <c r="AB34" i="6"/>
  <c r="F39" i="6"/>
  <c r="L39" i="6"/>
  <c r="R39" i="6"/>
  <c r="X39" i="6"/>
  <c r="AD39" i="6"/>
  <c r="H44" i="6"/>
  <c r="N44" i="6"/>
  <c r="T44" i="6"/>
  <c r="Z44" i="6"/>
  <c r="J50" i="6"/>
  <c r="W50" i="6"/>
  <c r="G49" i="6"/>
  <c r="S49" i="6"/>
  <c r="AE49" i="6"/>
  <c r="I14" i="6"/>
  <c r="O14" i="6"/>
  <c r="U14" i="6"/>
  <c r="AA14" i="6"/>
  <c r="F19" i="6"/>
  <c r="K19" i="6"/>
  <c r="Q19" i="6"/>
  <c r="W19" i="6"/>
  <c r="AC19" i="6"/>
  <c r="G24" i="6"/>
  <c r="M24" i="6"/>
  <c r="S24" i="6"/>
  <c r="Y24" i="6"/>
  <c r="AE24" i="6"/>
  <c r="I29" i="6"/>
  <c r="O29" i="6"/>
  <c r="U29" i="6"/>
  <c r="AA29" i="6"/>
  <c r="D35" i="6"/>
  <c r="J35" i="6"/>
  <c r="P35" i="6"/>
  <c r="V35" i="6"/>
  <c r="AB35" i="6"/>
  <c r="F40" i="6"/>
  <c r="L40" i="6"/>
  <c r="R40" i="6"/>
  <c r="X40" i="6"/>
  <c r="AD40" i="6"/>
  <c r="H45" i="6"/>
  <c r="N45" i="6"/>
  <c r="T45" i="6"/>
  <c r="Z45" i="6"/>
  <c r="K50" i="6"/>
  <c r="X50" i="6"/>
  <c r="H49" i="6"/>
  <c r="T49" i="6"/>
  <c r="D49" i="6"/>
  <c r="I15" i="6"/>
  <c r="O15" i="6"/>
  <c r="U15" i="6"/>
  <c r="AA15" i="6"/>
  <c r="G19" i="6"/>
  <c r="K20" i="6"/>
  <c r="Q20" i="6"/>
  <c r="W20" i="6"/>
  <c r="AC20" i="6"/>
  <c r="G25" i="6"/>
  <c r="M25" i="6"/>
  <c r="S25" i="6"/>
  <c r="Y25" i="6"/>
  <c r="AE25" i="6"/>
  <c r="I30" i="6"/>
  <c r="O30" i="6"/>
  <c r="U30" i="6"/>
  <c r="AA30" i="6"/>
  <c r="E34" i="6"/>
  <c r="K34" i="6"/>
  <c r="Q34" i="6"/>
  <c r="W34" i="6"/>
  <c r="AC34" i="6"/>
  <c r="G39" i="6"/>
  <c r="M39" i="6"/>
  <c r="S39" i="6"/>
  <c r="Y39" i="6"/>
  <c r="AE39" i="6"/>
  <c r="I44" i="6"/>
  <c r="O44" i="6"/>
  <c r="U44" i="6"/>
  <c r="AA44" i="6"/>
  <c r="L50" i="6"/>
  <c r="Y50" i="6"/>
  <c r="I49" i="6"/>
  <c r="U49" i="6"/>
  <c r="D14" i="6"/>
  <c r="J14" i="6"/>
  <c r="P14" i="6"/>
  <c r="V14" i="6"/>
  <c r="AB14" i="6"/>
  <c r="D20" i="6"/>
  <c r="L19" i="6"/>
  <c r="R19" i="6"/>
  <c r="X19" i="6"/>
  <c r="AD19" i="6"/>
  <c r="H24" i="6"/>
  <c r="N24" i="6"/>
  <c r="T24" i="6"/>
  <c r="Z24" i="6"/>
  <c r="D29" i="6"/>
  <c r="J29" i="6"/>
  <c r="P29" i="6"/>
  <c r="V29" i="6"/>
  <c r="AB29" i="6"/>
  <c r="E35" i="6"/>
  <c r="K35" i="6"/>
  <c r="Q35" i="6"/>
  <c r="W35" i="6"/>
  <c r="AC35" i="6"/>
  <c r="G40" i="6"/>
  <c r="M40" i="6"/>
  <c r="S40" i="6"/>
  <c r="Y40" i="6"/>
  <c r="AE40" i="6"/>
  <c r="I45" i="6"/>
  <c r="O45" i="6"/>
  <c r="U45" i="6"/>
  <c r="AA45" i="6"/>
  <c r="M50" i="6"/>
  <c r="Z50" i="6"/>
  <c r="J49" i="6"/>
  <c r="V49" i="6"/>
  <c r="D15" i="6"/>
  <c r="J15" i="6"/>
  <c r="P15" i="6"/>
  <c r="V15" i="6"/>
  <c r="AB15" i="6"/>
  <c r="E20" i="6"/>
  <c r="L20" i="6"/>
  <c r="R20" i="6"/>
  <c r="X20" i="6"/>
  <c r="AD20" i="6"/>
  <c r="H25" i="6"/>
  <c r="N25" i="6"/>
  <c r="T25" i="6"/>
  <c r="Z25" i="6"/>
  <c r="D30" i="6"/>
  <c r="J30" i="6"/>
  <c r="P30" i="6"/>
  <c r="V30" i="6"/>
  <c r="AB30" i="6"/>
  <c r="F34" i="6"/>
  <c r="L34" i="6"/>
  <c r="R34" i="6"/>
  <c r="X34" i="6"/>
  <c r="AD34" i="6"/>
  <c r="H39" i="6"/>
  <c r="N39" i="6"/>
  <c r="T39" i="6"/>
  <c r="Z39" i="6"/>
  <c r="D44" i="6"/>
  <c r="J44" i="6"/>
  <c r="P44" i="6"/>
  <c r="V44" i="6"/>
  <c r="AB44" i="6"/>
  <c r="O50" i="6"/>
  <c r="AA50" i="6"/>
  <c r="K49" i="6"/>
  <c r="W49" i="6"/>
  <c r="E14" i="6"/>
  <c r="K14" i="6"/>
  <c r="Q14" i="6"/>
  <c r="W14" i="6"/>
  <c r="AC14" i="6"/>
  <c r="F20" i="6"/>
  <c r="M19" i="6"/>
  <c r="S19" i="6"/>
  <c r="Y19" i="6"/>
  <c r="AE19" i="6"/>
  <c r="I24" i="6"/>
  <c r="O24" i="6"/>
  <c r="U24" i="6"/>
  <c r="AA24" i="6"/>
  <c r="E29" i="6"/>
  <c r="K29" i="6"/>
  <c r="Q29" i="6"/>
  <c r="W29" i="6"/>
  <c r="AC29" i="6"/>
  <c r="F35" i="6"/>
  <c r="L35" i="6"/>
  <c r="R35" i="6"/>
  <c r="X35" i="6"/>
  <c r="AD35" i="6"/>
  <c r="H40" i="6"/>
  <c r="N40" i="6"/>
  <c r="T40" i="6"/>
  <c r="Z40" i="6"/>
  <c r="D45" i="6"/>
  <c r="J45" i="6"/>
  <c r="P45" i="6"/>
  <c r="V45" i="6"/>
  <c r="AB45" i="6"/>
  <c r="P50" i="6"/>
  <c r="AB50" i="6"/>
  <c r="L49" i="6"/>
  <c r="X49" i="6"/>
  <c r="E15" i="6"/>
  <c r="K15" i="6"/>
  <c r="Q15" i="6"/>
  <c r="W15" i="6"/>
  <c r="AC15" i="6"/>
  <c r="G20" i="6"/>
  <c r="M20" i="6"/>
  <c r="S20" i="6"/>
  <c r="Y20" i="6"/>
  <c r="AE20" i="6"/>
  <c r="I25" i="6"/>
  <c r="O25" i="6"/>
  <c r="U25" i="6"/>
  <c r="AA25" i="6"/>
  <c r="E30" i="6"/>
  <c r="K30" i="6"/>
  <c r="Q30" i="6"/>
  <c r="W30" i="6"/>
  <c r="AC30" i="6"/>
  <c r="G34" i="6"/>
  <c r="M34" i="6"/>
  <c r="S34" i="6"/>
  <c r="Y34" i="6"/>
  <c r="AE34" i="6"/>
  <c r="I39" i="6"/>
  <c r="O39" i="6"/>
  <c r="U39" i="6"/>
  <c r="AA39" i="6"/>
  <c r="E44" i="6"/>
  <c r="K44" i="6"/>
  <c r="Q44" i="6"/>
  <c r="W44" i="6"/>
  <c r="AC44" i="6"/>
  <c r="N50" i="6"/>
  <c r="Q50" i="6"/>
  <c r="AC50" i="6"/>
  <c r="M49" i="6"/>
  <c r="Y49" i="6"/>
  <c r="F14" i="6"/>
  <c r="L14" i="6"/>
  <c r="R14" i="6"/>
  <c r="X14" i="6"/>
  <c r="AD14" i="6"/>
  <c r="H19" i="6"/>
  <c r="N19" i="6"/>
  <c r="T19" i="6"/>
  <c r="Z19" i="6"/>
  <c r="D24" i="6"/>
  <c r="J24" i="6"/>
  <c r="P24" i="6"/>
  <c r="V24" i="6"/>
  <c r="AB24" i="6"/>
  <c r="F29" i="6"/>
  <c r="L29" i="6"/>
  <c r="R29" i="6"/>
  <c r="X29" i="6"/>
  <c r="AD29" i="6"/>
  <c r="G35" i="6"/>
  <c r="M35" i="6"/>
  <c r="S35" i="6"/>
  <c r="Y35" i="6"/>
  <c r="AE35" i="6"/>
  <c r="I40" i="6"/>
  <c r="O40" i="6"/>
  <c r="U40" i="6"/>
  <c r="AA40" i="6"/>
  <c r="E45" i="6"/>
  <c r="K45" i="6"/>
  <c r="Q45" i="6"/>
  <c r="W45" i="6"/>
  <c r="AC45" i="6"/>
  <c r="E50" i="6"/>
  <c r="R50" i="6"/>
  <c r="AD50" i="6"/>
  <c r="N49" i="6"/>
  <c r="Z49" i="6"/>
  <c r="F15" i="6"/>
  <c r="L15" i="6"/>
  <c r="R15" i="6"/>
  <c r="X15" i="6"/>
  <c r="AD15" i="6"/>
  <c r="H20" i="6"/>
  <c r="N20" i="6"/>
  <c r="T20" i="6"/>
  <c r="Z20" i="6"/>
  <c r="D25" i="6"/>
  <c r="J25" i="6"/>
  <c r="P25" i="6"/>
  <c r="V25" i="6"/>
  <c r="AB25" i="6"/>
  <c r="F30" i="6"/>
  <c r="L30" i="6"/>
  <c r="R30" i="6"/>
  <c r="X30" i="6"/>
  <c r="AD30" i="6"/>
  <c r="H34" i="6"/>
  <c r="N34" i="6"/>
  <c r="T34" i="6"/>
  <c r="Z34" i="6"/>
  <c r="D39" i="6"/>
  <c r="J39" i="6"/>
  <c r="P39" i="6"/>
  <c r="V39" i="6"/>
  <c r="AB39" i="6"/>
  <c r="F44" i="6"/>
  <c r="L44" i="6"/>
  <c r="R44" i="6"/>
  <c r="X44" i="6"/>
  <c r="AD44" i="6"/>
  <c r="F50" i="6"/>
  <c r="S50" i="6"/>
  <c r="AE50" i="6"/>
  <c r="O49" i="6"/>
  <c r="AA49" i="6"/>
  <c r="G14" i="6"/>
  <c r="M14" i="6"/>
  <c r="S14" i="6"/>
  <c r="Y14" i="6"/>
  <c r="AE14" i="6"/>
  <c r="I19" i="6"/>
  <c r="O19" i="6"/>
  <c r="U19" i="6"/>
  <c r="AA19" i="6"/>
  <c r="E24" i="6"/>
  <c r="K24" i="6"/>
  <c r="Q24" i="6"/>
  <c r="W24" i="6"/>
  <c r="AC24" i="6"/>
  <c r="G29" i="6"/>
  <c r="M29" i="6"/>
  <c r="S29" i="6"/>
  <c r="Y29" i="6"/>
  <c r="AE30" i="6"/>
  <c r="H35" i="6"/>
  <c r="N35" i="6"/>
  <c r="T35" i="6"/>
  <c r="Z35" i="6"/>
  <c r="D40" i="6"/>
  <c r="J40" i="6"/>
  <c r="P40" i="6"/>
  <c r="V40" i="6"/>
  <c r="AB40" i="6"/>
  <c r="F45" i="6"/>
  <c r="L45" i="6"/>
  <c r="R45" i="6"/>
  <c r="X45" i="6"/>
  <c r="AD45" i="6"/>
  <c r="G50" i="6"/>
  <c r="T50" i="6"/>
  <c r="D50" i="6"/>
  <c r="P49" i="6"/>
  <c r="AB49" i="6"/>
  <c r="G15" i="6"/>
  <c r="M15" i="6"/>
  <c r="S15" i="6"/>
  <c r="Y15" i="6"/>
  <c r="AE15" i="6"/>
  <c r="I20" i="6"/>
  <c r="O20" i="6"/>
  <c r="U20" i="6"/>
  <c r="AA20" i="6"/>
  <c r="E25" i="6"/>
  <c r="K25" i="6"/>
  <c r="Q25" i="6"/>
  <c r="W25" i="6"/>
  <c r="AC25" i="6"/>
  <c r="G30" i="6"/>
  <c r="M30" i="6"/>
  <c r="S30" i="6"/>
  <c r="Y30" i="6"/>
  <c r="AE29" i="6"/>
  <c r="I34" i="6"/>
  <c r="O34" i="6"/>
  <c r="U34" i="6"/>
  <c r="AA34" i="6"/>
  <c r="E39" i="6"/>
  <c r="K39" i="6"/>
  <c r="Q39" i="6"/>
  <c r="W39" i="6"/>
  <c r="AC39" i="6"/>
  <c r="G44" i="6"/>
  <c r="M44" i="6"/>
  <c r="S44" i="6"/>
  <c r="Y44" i="6"/>
  <c r="AE44" i="6"/>
  <c r="H50" i="6"/>
  <c r="U50" i="6"/>
  <c r="E49" i="6"/>
  <c r="Q49" i="6"/>
  <c r="H14" i="6"/>
  <c r="N14" i="6"/>
  <c r="T14" i="6"/>
  <c r="D19" i="6"/>
  <c r="J19" i="6"/>
  <c r="P19" i="6"/>
  <c r="V19" i="6"/>
  <c r="F24" i="6"/>
  <c r="L24" i="6"/>
  <c r="R24" i="6"/>
  <c r="X24" i="6"/>
  <c r="H29" i="6"/>
  <c r="N29" i="6"/>
  <c r="T29" i="6"/>
  <c r="I35" i="6"/>
  <c r="O35" i="6"/>
  <c r="U35" i="6"/>
  <c r="E40" i="6"/>
  <c r="K40" i="6"/>
  <c r="Q40" i="6"/>
  <c r="W40" i="6"/>
  <c r="G45" i="6"/>
  <c r="M45" i="6"/>
  <c r="S45" i="6"/>
  <c r="Y45" i="6"/>
  <c r="D11" i="6"/>
  <c r="E11" i="6" s="1" a="1"/>
  <c r="E11" i="6" s="1"/>
  <c r="F11" i="6" s="1" a="1"/>
  <c r="F11" i="6" s="1"/>
  <c r="G11" i="6" s="1" a="1"/>
  <c r="G11" i="6" s="1"/>
  <c r="H11" i="6" s="1" a="1"/>
  <c r="H11" i="6" s="1"/>
  <c r="I11" i="6" s="1" a="1"/>
  <c r="I11" i="6" s="1"/>
  <c r="J11" i="6" s="1" a="1"/>
  <c r="J11" i="6" s="1"/>
  <c r="K11" i="6" s="1" a="1"/>
  <c r="K11" i="6" s="1"/>
  <c r="L11" i="6" s="1" a="1"/>
  <c r="L11" i="6" s="1"/>
  <c r="M11" i="6" s="1" a="1"/>
  <c r="M11" i="6" s="1"/>
  <c r="N11" i="6" s="1" a="1"/>
  <c r="N11" i="6" s="1"/>
  <c r="O11" i="6" s="1" a="1"/>
  <c r="O11" i="6" s="1"/>
  <c r="P11" i="6" s="1" a="1"/>
  <c r="P11" i="6" s="1"/>
  <c r="Q11" i="6" s="1" a="1"/>
  <c r="Q11" i="6" s="1"/>
  <c r="R11" i="6" s="1" a="1"/>
  <c r="R11" i="6" s="1"/>
  <c r="S11" i="6" s="1" a="1"/>
  <c r="S11" i="6" s="1"/>
  <c r="T11" i="6" s="1" a="1"/>
  <c r="T11" i="6" s="1"/>
  <c r="U11" i="6" s="1" a="1"/>
  <c r="U11" i="6" s="1"/>
  <c r="V11" i="6" s="1" a="1"/>
  <c r="V11" i="6" s="1"/>
  <c r="W11" i="6" s="1" a="1"/>
  <c r="W11" i="6" s="1"/>
  <c r="X11" i="6" s="1" a="1"/>
  <c r="X11" i="6" s="1"/>
  <c r="Y11" i="6" s="1" a="1"/>
  <c r="Y11" i="6" s="1"/>
  <c r="Z11" i="6" s="1" a="1"/>
  <c r="Z11" i="6" s="1"/>
  <c r="AA11" i="6" s="1" a="1"/>
  <c r="AA11" i="6" s="1"/>
  <c r="AB11" i="6" s="1" a="1"/>
  <c r="AB11" i="6" s="1"/>
  <c r="AC11" i="6" s="1" a="1"/>
  <c r="AC11" i="6" s="1"/>
  <c r="AD11" i="6" s="1" a="1"/>
  <c r="AD11" i="6" s="1"/>
  <c r="AE11" i="6" s="1" a="1"/>
  <c r="AE11" i="6" s="1"/>
  <c r="D16" i="6" s="1" a="1"/>
  <c r="D16" i="6" s="1"/>
  <c r="E16" i="6" s="1" a="1"/>
  <c r="E16" i="6" s="1"/>
  <c r="AH12" i="6"/>
  <c r="AJ78" i="6"/>
  <c r="AH78" i="6"/>
  <c r="AN78" i="6" s="1"/>
  <c r="AJ77" i="6"/>
  <c r="AH77" i="6"/>
  <c r="D76" i="6" a="1"/>
  <c r="D76" i="6" s="1"/>
  <c r="E76" i="6" s="1" a="1"/>
  <c r="E76" i="6" s="1"/>
  <c r="F76" i="6" s="1" a="1"/>
  <c r="F76" i="6" s="1"/>
  <c r="G76" i="6" s="1" a="1"/>
  <c r="G76" i="6" s="1"/>
  <c r="H76" i="6" s="1" a="1"/>
  <c r="H76" i="6" s="1"/>
  <c r="I76" i="6" s="1" a="1"/>
  <c r="I76" i="6" s="1"/>
  <c r="J76" i="6" s="1" a="1"/>
  <c r="J76" i="6" s="1"/>
  <c r="K76" i="6" s="1" a="1"/>
  <c r="K76" i="6" s="1"/>
  <c r="L76" i="6" s="1" a="1"/>
  <c r="L76" i="6" s="1"/>
  <c r="M76" i="6" s="1" a="1"/>
  <c r="M76" i="6" s="1"/>
  <c r="N76" i="6" s="1" a="1"/>
  <c r="N76" i="6" s="1"/>
  <c r="O76" i="6" s="1" a="1"/>
  <c r="O76" i="6" s="1"/>
  <c r="P76" i="6" s="1" a="1"/>
  <c r="P76" i="6" s="1"/>
  <c r="Q76" i="6" s="1" a="1"/>
  <c r="Q76" i="6" s="1"/>
  <c r="R76" i="6" s="1" a="1"/>
  <c r="R76" i="6" s="1"/>
  <c r="S76" i="6" s="1" a="1"/>
  <c r="S76" i="6" s="1"/>
  <c r="T76" i="6" s="1" a="1"/>
  <c r="T76" i="6" s="1"/>
  <c r="U76" i="6" s="1" a="1"/>
  <c r="U76" i="6" s="1"/>
  <c r="V76" i="6" s="1" a="1"/>
  <c r="V76" i="6" s="1"/>
  <c r="W76" i="6" s="1" a="1"/>
  <c r="W76" i="6" s="1"/>
  <c r="X76" i="6" s="1" a="1"/>
  <c r="X76" i="6" s="1"/>
  <c r="Y76" i="6" s="1" a="1"/>
  <c r="Y76" i="6" s="1"/>
  <c r="Z76" i="6" s="1" a="1"/>
  <c r="Z76" i="6" s="1"/>
  <c r="AA76" i="6" s="1" a="1"/>
  <c r="AA76" i="6" s="1"/>
  <c r="AB76" i="6" s="1" a="1"/>
  <c r="AB76" i="6" s="1"/>
  <c r="AC76" i="6" s="1" a="1"/>
  <c r="AC76" i="6" s="1"/>
  <c r="AD76" i="6" s="1" a="1"/>
  <c r="AD76" i="6" s="1"/>
  <c r="AE76" i="6" s="1" a="1"/>
  <c r="AE76" i="6" s="1"/>
  <c r="AJ73" i="6"/>
  <c r="AH73" i="6"/>
  <c r="AJ72" i="6"/>
  <c r="AH72" i="6"/>
  <c r="AN72" i="6" s="1"/>
  <c r="D71" i="6" a="1"/>
  <c r="D71" i="6" s="1"/>
  <c r="E71" i="6" s="1" a="1"/>
  <c r="E71" i="6" s="1"/>
  <c r="F71" i="6" s="1" a="1"/>
  <c r="F71" i="6" s="1"/>
  <c r="G71" i="6" s="1" a="1"/>
  <c r="G71" i="6" s="1"/>
  <c r="H71" i="6" s="1" a="1"/>
  <c r="H71" i="6" s="1"/>
  <c r="I71" i="6" s="1" a="1"/>
  <c r="I71" i="6" s="1"/>
  <c r="J71" i="6" s="1" a="1"/>
  <c r="J71" i="6" s="1"/>
  <c r="K71" i="6" s="1" a="1"/>
  <c r="K71" i="6" s="1"/>
  <c r="L71" i="6" s="1" a="1"/>
  <c r="L71" i="6" s="1"/>
  <c r="M71" i="6" s="1" a="1"/>
  <c r="M71" i="6" s="1"/>
  <c r="N71" i="6" s="1" a="1"/>
  <c r="N71" i="6" s="1"/>
  <c r="O71" i="6" s="1" a="1"/>
  <c r="O71" i="6" s="1"/>
  <c r="P71" i="6" s="1" a="1"/>
  <c r="P71" i="6" s="1"/>
  <c r="Q71" i="6" s="1" a="1"/>
  <c r="Q71" i="6" s="1"/>
  <c r="R71" i="6" s="1" a="1"/>
  <c r="R71" i="6" s="1"/>
  <c r="S71" i="6" s="1" a="1"/>
  <c r="S71" i="6" s="1"/>
  <c r="T71" i="6" s="1" a="1"/>
  <c r="T71" i="6" s="1"/>
  <c r="U71" i="6" s="1" a="1"/>
  <c r="U71" i="6" s="1"/>
  <c r="V71" i="6" s="1" a="1"/>
  <c r="V71" i="6" s="1"/>
  <c r="W71" i="6" s="1" a="1"/>
  <c r="W71" i="6" s="1"/>
  <c r="X71" i="6" s="1" a="1"/>
  <c r="X71" i="6" s="1"/>
  <c r="Y71" i="6" s="1" a="1"/>
  <c r="Y71" i="6" s="1"/>
  <c r="Z71" i="6" s="1" a="1"/>
  <c r="Z71" i="6" s="1"/>
  <c r="AA71" i="6" s="1" a="1"/>
  <c r="AA71" i="6" s="1"/>
  <c r="AB71" i="6" s="1" a="1"/>
  <c r="AB71" i="6" s="1"/>
  <c r="AC71" i="6" s="1" a="1"/>
  <c r="AC71" i="6" s="1"/>
  <c r="AD71" i="6" s="1" a="1"/>
  <c r="AD71" i="6" s="1"/>
  <c r="AE71" i="6" s="1" a="1"/>
  <c r="AE71" i="6" s="1"/>
  <c r="AJ68" i="6"/>
  <c r="AH68" i="6"/>
  <c r="AJ67" i="6"/>
  <c r="AH67" i="6"/>
  <c r="D66" i="6" a="1"/>
  <c r="D66" i="6" s="1"/>
  <c r="E66" i="6" s="1" a="1"/>
  <c r="E66" i="6" s="1"/>
  <c r="F66" i="6" s="1" a="1"/>
  <c r="F66" i="6" s="1"/>
  <c r="G66" i="6" s="1" a="1"/>
  <c r="G66" i="6" s="1"/>
  <c r="H66" i="6" s="1" a="1"/>
  <c r="H66" i="6" s="1"/>
  <c r="I66" i="6" s="1" a="1"/>
  <c r="I66" i="6" s="1"/>
  <c r="J66" i="6" s="1" a="1"/>
  <c r="J66" i="6" s="1"/>
  <c r="K66" i="6" s="1" a="1"/>
  <c r="K66" i="6" s="1"/>
  <c r="L66" i="6" s="1" a="1"/>
  <c r="L66" i="6" s="1"/>
  <c r="M66" i="6" s="1" a="1"/>
  <c r="M66" i="6" s="1"/>
  <c r="N66" i="6" s="1" a="1"/>
  <c r="N66" i="6" s="1"/>
  <c r="O66" i="6" s="1" a="1"/>
  <c r="O66" i="6" s="1"/>
  <c r="P66" i="6" s="1" a="1"/>
  <c r="P66" i="6" s="1"/>
  <c r="Q66" i="6" s="1" a="1"/>
  <c r="Q66" i="6" s="1"/>
  <c r="R66" i="6" s="1" a="1"/>
  <c r="R66" i="6" s="1"/>
  <c r="S66" i="6" s="1" a="1"/>
  <c r="S66" i="6" s="1"/>
  <c r="T66" i="6" s="1" a="1"/>
  <c r="T66" i="6" s="1"/>
  <c r="U66" i="6" s="1" a="1"/>
  <c r="U66" i="6" s="1"/>
  <c r="V66" i="6" s="1" a="1"/>
  <c r="V66" i="6" s="1"/>
  <c r="W66" i="6" s="1" a="1"/>
  <c r="W66" i="6" s="1"/>
  <c r="X66" i="6" s="1" a="1"/>
  <c r="X66" i="6" s="1"/>
  <c r="Y66" i="6" s="1" a="1"/>
  <c r="Y66" i="6" s="1"/>
  <c r="Z66" i="6" s="1" a="1"/>
  <c r="Z66" i="6" s="1"/>
  <c r="AA66" i="6" s="1" a="1"/>
  <c r="AA66" i="6" s="1"/>
  <c r="AB66" i="6" s="1" a="1"/>
  <c r="AB66" i="6" s="1"/>
  <c r="AC66" i="6" s="1" a="1"/>
  <c r="AC66" i="6" s="1"/>
  <c r="AD66" i="6" s="1" a="1"/>
  <c r="AD66" i="6" s="1"/>
  <c r="AE66" i="6" s="1" a="1"/>
  <c r="AE66" i="6" s="1"/>
  <c r="AJ63" i="6"/>
  <c r="AH63" i="6"/>
  <c r="AJ62" i="6"/>
  <c r="AH62" i="6"/>
  <c r="D61" i="6" a="1"/>
  <c r="D61" i="6" s="1"/>
  <c r="E61" i="6" s="1" a="1"/>
  <c r="E61" i="6" s="1"/>
  <c r="F61" i="6" s="1" a="1"/>
  <c r="F61" i="6" s="1"/>
  <c r="G61" i="6" s="1" a="1"/>
  <c r="G61" i="6" s="1"/>
  <c r="H61" i="6" s="1" a="1"/>
  <c r="H61" i="6" s="1"/>
  <c r="I61" i="6" s="1" a="1"/>
  <c r="I61" i="6" s="1"/>
  <c r="J61" i="6" s="1" a="1"/>
  <c r="J61" i="6" s="1"/>
  <c r="K61" i="6" s="1" a="1"/>
  <c r="K61" i="6" s="1"/>
  <c r="L61" i="6" s="1" a="1"/>
  <c r="L61" i="6" s="1"/>
  <c r="M61" i="6" s="1" a="1"/>
  <c r="M61" i="6" s="1"/>
  <c r="N61" i="6" s="1" a="1"/>
  <c r="N61" i="6" s="1"/>
  <c r="O61" i="6" s="1" a="1"/>
  <c r="O61" i="6" s="1"/>
  <c r="P61" i="6" s="1" a="1"/>
  <c r="P61" i="6" s="1"/>
  <c r="Q61" i="6" s="1" a="1"/>
  <c r="Q61" i="6" s="1"/>
  <c r="R61" i="6" s="1" a="1"/>
  <c r="R61" i="6" s="1"/>
  <c r="S61" i="6" s="1" a="1"/>
  <c r="S61" i="6" s="1"/>
  <c r="T61" i="6" s="1" a="1"/>
  <c r="T61" i="6" s="1"/>
  <c r="U61" i="6" s="1" a="1"/>
  <c r="U61" i="6" s="1"/>
  <c r="V61" i="6" s="1" a="1"/>
  <c r="V61" i="6" s="1"/>
  <c r="W61" i="6" s="1" a="1"/>
  <c r="W61" i="6" s="1"/>
  <c r="X61" i="6" s="1" a="1"/>
  <c r="X61" i="6" s="1"/>
  <c r="Y61" i="6" s="1" a="1"/>
  <c r="Y61" i="6" s="1"/>
  <c r="Z61" i="6" s="1" a="1"/>
  <c r="Z61" i="6" s="1"/>
  <c r="AA61" i="6" s="1" a="1"/>
  <c r="AA61" i="6" s="1"/>
  <c r="AB61" i="6" s="1" a="1"/>
  <c r="AB61" i="6" s="1"/>
  <c r="AC61" i="6" s="1" a="1"/>
  <c r="AC61" i="6" s="1"/>
  <c r="AD61" i="6" s="1" a="1"/>
  <c r="AD61" i="6" s="1"/>
  <c r="AE61" i="6" s="1" a="1"/>
  <c r="AE61" i="6" s="1"/>
  <c r="AJ58" i="6"/>
  <c r="AH58" i="6"/>
  <c r="AJ57" i="6"/>
  <c r="AH57" i="6"/>
  <c r="D56" i="6" a="1"/>
  <c r="D56" i="6" s="1"/>
  <c r="AJ53" i="6"/>
  <c r="AH53" i="6"/>
  <c r="AJ52" i="6"/>
  <c r="AH52" i="6"/>
  <c r="AJ48" i="6"/>
  <c r="AH48" i="6"/>
  <c r="AJ47" i="6"/>
  <c r="AH47" i="6"/>
  <c r="AJ43" i="6"/>
  <c r="AH43" i="6"/>
  <c r="AJ42" i="6"/>
  <c r="AH42" i="6"/>
  <c r="AJ38" i="6"/>
  <c r="AH38" i="6"/>
  <c r="AJ37" i="6"/>
  <c r="AH37" i="6"/>
  <c r="AJ33" i="6"/>
  <c r="AH33" i="6"/>
  <c r="AJ32" i="6"/>
  <c r="AH32" i="6"/>
  <c r="AJ28" i="6"/>
  <c r="AH28" i="6"/>
  <c r="AJ27" i="6"/>
  <c r="AH27" i="6"/>
  <c r="AJ23" i="6"/>
  <c r="AH23" i="6"/>
  <c r="AJ22" i="6"/>
  <c r="AH22" i="6"/>
  <c r="AJ18" i="6"/>
  <c r="AH18" i="6"/>
  <c r="AN18" i="6" s="1"/>
  <c r="AJ17" i="6"/>
  <c r="AH17" i="6"/>
  <c r="AJ13" i="6"/>
  <c r="AJ12" i="6"/>
  <c r="F11" i="7" l="1" a="1"/>
  <c r="F11" i="7" s="1"/>
  <c r="G11" i="7" s="1" a="1"/>
  <c r="G11" i="7" s="1"/>
  <c r="H11" i="7" s="1" a="1"/>
  <c r="H11" i="7" s="1"/>
  <c r="I11" i="7" s="1" a="1"/>
  <c r="I11" i="7" s="1"/>
  <c r="J11" i="7" s="1" a="1"/>
  <c r="J11" i="7" s="1"/>
  <c r="K11" i="7" s="1" a="1"/>
  <c r="K11" i="7" s="1"/>
  <c r="L11" i="7" s="1" a="1"/>
  <c r="L11" i="7" s="1"/>
  <c r="M11" i="7" s="1" a="1"/>
  <c r="M11" i="7" s="1"/>
  <c r="N11" i="7" s="1" a="1"/>
  <c r="N11" i="7" s="1"/>
  <c r="O11" i="7" s="1" a="1"/>
  <c r="O11" i="7" s="1"/>
  <c r="P11" i="7" s="1" a="1"/>
  <c r="P11" i="7" s="1"/>
  <c r="Q11" i="7" s="1" a="1"/>
  <c r="Q11" i="7" s="1"/>
  <c r="R11" i="7" s="1" a="1"/>
  <c r="R11" i="7" s="1"/>
  <c r="S11" i="7" s="1" a="1"/>
  <c r="S11" i="7" s="1"/>
  <c r="T11" i="7" s="1" a="1"/>
  <c r="T11" i="7" s="1"/>
  <c r="U11" i="7" s="1" a="1"/>
  <c r="U11" i="7" s="1"/>
  <c r="V11" i="7" s="1" a="1"/>
  <c r="V11" i="7" s="1"/>
  <c r="W11" i="7" s="1" a="1"/>
  <c r="W11" i="7" s="1"/>
  <c r="X11" i="7" s="1" a="1"/>
  <c r="X11" i="7" s="1"/>
  <c r="Y11" i="7" s="1" a="1"/>
  <c r="Y11" i="7" s="1"/>
  <c r="Z11" i="7" s="1" a="1"/>
  <c r="Z11" i="7" s="1"/>
  <c r="AA11" i="7" s="1" a="1"/>
  <c r="AA11" i="7" s="1"/>
  <c r="AB11" i="7" s="1" a="1"/>
  <c r="AB11" i="7" s="1"/>
  <c r="AC11" i="7" s="1" a="1"/>
  <c r="AC11" i="7" s="1"/>
  <c r="AD11" i="7" s="1" a="1"/>
  <c r="AD11" i="7" s="1"/>
  <c r="AE11" i="7" s="1" a="1"/>
  <c r="AE11" i="7" s="1"/>
  <c r="D16" i="7" s="1" a="1"/>
  <c r="D16" i="7" s="1"/>
  <c r="E16" i="7" s="1" a="1"/>
  <c r="E16" i="7" s="1"/>
  <c r="F16" i="7" s="1" a="1"/>
  <c r="F16" i="7" s="1"/>
  <c r="G16" i="7" s="1" a="1"/>
  <c r="G16" i="7" s="1"/>
  <c r="H16" i="7" s="1" a="1"/>
  <c r="H16" i="7" s="1"/>
  <c r="I16" i="7" s="1" a="1"/>
  <c r="I16" i="7" s="1"/>
  <c r="J16" i="7" s="1" a="1"/>
  <c r="J16" i="7" s="1"/>
  <c r="K16" i="7" s="1" a="1"/>
  <c r="K16" i="7" s="1"/>
  <c r="L16" i="7" s="1" a="1"/>
  <c r="L16" i="7" s="1"/>
  <c r="M16" i="7" s="1" a="1"/>
  <c r="M16" i="7" s="1"/>
  <c r="N16" i="7" s="1" a="1"/>
  <c r="N16" i="7" s="1"/>
  <c r="O16" i="7" s="1" a="1"/>
  <c r="O16" i="7" s="1"/>
  <c r="P16" i="7" s="1" a="1"/>
  <c r="P16" i="7" s="1"/>
  <c r="Q16" i="7" s="1" a="1"/>
  <c r="Q16" i="7" s="1"/>
  <c r="R16" i="7" s="1" a="1"/>
  <c r="R16" i="7" s="1"/>
  <c r="S16" i="7" s="1" a="1"/>
  <c r="S16" i="7" s="1"/>
  <c r="T16" i="7" s="1" a="1"/>
  <c r="T16" i="7" s="1"/>
  <c r="U16" i="7" s="1" a="1"/>
  <c r="U16" i="7" s="1"/>
  <c r="V16" i="7" s="1" a="1"/>
  <c r="V16" i="7" s="1"/>
  <c r="W16" i="7" s="1" a="1"/>
  <c r="W16" i="7" s="1"/>
  <c r="X16" i="7" s="1" a="1"/>
  <c r="X16" i="7" s="1"/>
  <c r="Y16" i="7" s="1" a="1"/>
  <c r="Y16" i="7" s="1"/>
  <c r="Z16" i="7" s="1" a="1"/>
  <c r="Z16" i="7" s="1"/>
  <c r="AA16" i="7" s="1" a="1"/>
  <c r="AA16" i="7" s="1"/>
  <c r="AB16" i="7" s="1" a="1"/>
  <c r="AB16" i="7" s="1"/>
  <c r="AC16" i="7" s="1" a="1"/>
  <c r="AC16" i="7" s="1"/>
  <c r="AD16" i="7" s="1" a="1"/>
  <c r="AD16" i="7" s="1"/>
  <c r="AE16" i="7" s="1" a="1"/>
  <c r="AE16" i="7" s="1"/>
  <c r="D21" i="7" s="1" a="1"/>
  <c r="D21" i="7" s="1"/>
  <c r="E21" i="7" s="1" a="1"/>
  <c r="E21" i="7" s="1"/>
  <c r="F21" i="7" s="1" a="1"/>
  <c r="F21" i="7" s="1"/>
  <c r="G21" i="7" s="1" a="1"/>
  <c r="G21" i="7" s="1"/>
  <c r="H21" i="7" s="1" a="1"/>
  <c r="H21" i="7" s="1"/>
  <c r="I21" i="7" s="1" a="1"/>
  <c r="I21" i="7" s="1"/>
  <c r="J21" i="7" s="1" a="1"/>
  <c r="J21" i="7" s="1"/>
  <c r="K21" i="7" s="1" a="1"/>
  <c r="K21" i="7" s="1"/>
  <c r="L21" i="7" s="1" a="1"/>
  <c r="L21" i="7" s="1"/>
  <c r="M21" i="7" s="1" a="1"/>
  <c r="M21" i="7" s="1"/>
  <c r="N21" i="7" s="1" a="1"/>
  <c r="N21" i="7" s="1"/>
  <c r="O21" i="7" s="1" a="1"/>
  <c r="O21" i="7" s="1"/>
  <c r="P21" i="7" s="1" a="1"/>
  <c r="P21" i="7" s="1"/>
  <c r="Q21" i="7" s="1" a="1"/>
  <c r="Q21" i="7" s="1"/>
  <c r="R21" i="7" s="1" a="1"/>
  <c r="R21" i="7" s="1"/>
  <c r="S21" i="7" s="1" a="1"/>
  <c r="S21" i="7" s="1"/>
  <c r="T21" i="7" s="1" a="1"/>
  <c r="T21" i="7" s="1"/>
  <c r="U21" i="7" s="1" a="1"/>
  <c r="U21" i="7" s="1"/>
  <c r="V21" i="7" s="1" a="1"/>
  <c r="V21" i="7" s="1"/>
  <c r="W21" i="7" s="1" a="1"/>
  <c r="W21" i="7" s="1"/>
  <c r="X21" i="7" s="1" a="1"/>
  <c r="X21" i="7" s="1"/>
  <c r="Y21" i="7" s="1" a="1"/>
  <c r="Y21" i="7" s="1"/>
  <c r="Z21" i="7" s="1" a="1"/>
  <c r="Z21" i="7" s="1"/>
  <c r="AA21" i="7" s="1" a="1"/>
  <c r="AA21" i="7" s="1"/>
  <c r="AB21" i="7" s="1" a="1"/>
  <c r="AB21" i="7" s="1"/>
  <c r="AC21" i="7" s="1" a="1"/>
  <c r="AC21" i="7" s="1"/>
  <c r="AD21" i="7" s="1" a="1"/>
  <c r="AD21" i="7" s="1"/>
  <c r="AE21" i="7" s="1" a="1"/>
  <c r="AE21" i="7" s="1"/>
  <c r="D26" i="7" s="1" a="1"/>
  <c r="D26" i="7" s="1"/>
  <c r="E26" i="7" s="1" a="1"/>
  <c r="E26" i="7" s="1"/>
  <c r="F26" i="7" s="1" a="1"/>
  <c r="F26" i="7" s="1"/>
  <c r="G26" i="7" s="1" a="1"/>
  <c r="G26" i="7" s="1"/>
  <c r="H26" i="7" s="1" a="1"/>
  <c r="H26" i="7" s="1"/>
  <c r="I26" i="7" s="1" a="1"/>
  <c r="I26" i="7" s="1"/>
  <c r="J26" i="7" s="1" a="1"/>
  <c r="J26" i="7" s="1"/>
  <c r="K26" i="7" s="1" a="1"/>
  <c r="K26" i="7" s="1"/>
  <c r="L26" i="7" s="1" a="1"/>
  <c r="L26" i="7" s="1"/>
  <c r="M26" i="7" s="1" a="1"/>
  <c r="M26" i="7" s="1"/>
  <c r="N26" i="7" s="1" a="1"/>
  <c r="N26" i="7" s="1"/>
  <c r="O26" i="7" s="1" a="1"/>
  <c r="O26" i="7" s="1"/>
  <c r="P26" i="7" s="1" a="1"/>
  <c r="P26" i="7" s="1"/>
  <c r="Q26" i="7" s="1" a="1"/>
  <c r="Q26" i="7" s="1"/>
  <c r="R26" i="7" s="1" a="1"/>
  <c r="R26" i="7" s="1"/>
  <c r="S26" i="7" s="1" a="1"/>
  <c r="S26" i="7" s="1"/>
  <c r="T26" i="7" s="1" a="1"/>
  <c r="T26" i="7" s="1"/>
  <c r="U26" i="7" s="1" a="1"/>
  <c r="U26" i="7" s="1"/>
  <c r="V26" i="7" s="1" a="1"/>
  <c r="V26" i="7" s="1"/>
  <c r="W26" i="7" s="1" a="1"/>
  <c r="W26" i="7" s="1"/>
  <c r="X26" i="7" s="1" a="1"/>
  <c r="X26" i="7" s="1"/>
  <c r="Y26" i="7" s="1" a="1"/>
  <c r="Y26" i="7" s="1"/>
  <c r="Z26" i="7" s="1" a="1"/>
  <c r="Z26" i="7" s="1"/>
  <c r="AA26" i="7" s="1" a="1"/>
  <c r="AA26" i="7" s="1"/>
  <c r="AB26" i="7" s="1" a="1"/>
  <c r="AB26" i="7" s="1"/>
  <c r="AC26" i="7" s="1" a="1"/>
  <c r="AC26" i="7" s="1"/>
  <c r="AD26" i="7" s="1" a="1"/>
  <c r="AD26" i="7" s="1"/>
  <c r="AE26" i="7" s="1" a="1"/>
  <c r="AE26" i="7" s="1"/>
  <c r="D31" i="7" s="1" a="1"/>
  <c r="D31" i="7" s="1"/>
  <c r="E31" i="7" s="1" a="1"/>
  <c r="E31" i="7" s="1"/>
  <c r="F31" i="7" s="1" a="1"/>
  <c r="F31" i="7" s="1"/>
  <c r="G31" i="7" s="1" a="1"/>
  <c r="G31" i="7" s="1"/>
  <c r="H31" i="7" s="1" a="1"/>
  <c r="H31" i="7" s="1"/>
  <c r="I31" i="7" s="1" a="1"/>
  <c r="I31" i="7" s="1"/>
  <c r="J31" i="7" s="1" a="1"/>
  <c r="J31" i="7" s="1"/>
  <c r="K31" i="7" s="1" a="1"/>
  <c r="K31" i="7" s="1"/>
  <c r="L31" i="7" s="1" a="1"/>
  <c r="L31" i="7" s="1"/>
  <c r="M31" i="7" s="1" a="1"/>
  <c r="M31" i="7" s="1"/>
  <c r="N31" i="7" s="1" a="1"/>
  <c r="N31" i="7" s="1"/>
  <c r="O31" i="7" s="1" a="1"/>
  <c r="O31" i="7" s="1"/>
  <c r="P31" i="7" s="1" a="1"/>
  <c r="P31" i="7" s="1"/>
  <c r="Q31" i="7" s="1" a="1"/>
  <c r="Q31" i="7" s="1"/>
  <c r="R31" i="7" s="1" a="1"/>
  <c r="R31" i="7" s="1"/>
  <c r="S31" i="7" s="1" a="1"/>
  <c r="S31" i="7" s="1"/>
  <c r="T31" i="7" s="1" a="1"/>
  <c r="T31" i="7" s="1"/>
  <c r="U31" i="7" s="1" a="1"/>
  <c r="U31" i="7" s="1"/>
  <c r="V31" i="7" s="1" a="1"/>
  <c r="V31" i="7" s="1"/>
  <c r="W31" i="7" s="1" a="1"/>
  <c r="W31" i="7" s="1"/>
  <c r="X31" i="7" s="1" a="1"/>
  <c r="X31" i="7" s="1"/>
  <c r="Y31" i="7" s="1" a="1"/>
  <c r="Y31" i="7" s="1"/>
  <c r="Z31" i="7" s="1" a="1"/>
  <c r="Z31" i="7" s="1"/>
  <c r="AA31" i="7" s="1" a="1"/>
  <c r="AA31" i="7" s="1"/>
  <c r="AB31" i="7" s="1" a="1"/>
  <c r="AB31" i="7" s="1"/>
  <c r="AC31" i="7" s="1" a="1"/>
  <c r="AC31" i="7" s="1"/>
  <c r="AD31" i="7" s="1" a="1"/>
  <c r="AD31" i="7" s="1"/>
  <c r="AE31" i="7" s="1" a="1"/>
  <c r="AE31" i="7" s="1"/>
  <c r="D36" i="7" s="1" a="1"/>
  <c r="D36" i="7" s="1"/>
  <c r="E36" i="7" s="1" a="1"/>
  <c r="E36" i="7" s="1"/>
  <c r="F36" i="7" s="1" a="1"/>
  <c r="F36" i="7" s="1"/>
  <c r="G36" i="7" s="1" a="1"/>
  <c r="G36" i="7" s="1"/>
  <c r="H36" i="7" s="1" a="1"/>
  <c r="H36" i="7" s="1"/>
  <c r="I36" i="7" s="1" a="1"/>
  <c r="I36" i="7" s="1"/>
  <c r="J36" i="7" s="1" a="1"/>
  <c r="J36" i="7" s="1"/>
  <c r="K36" i="7" s="1" a="1"/>
  <c r="K36" i="7" s="1"/>
  <c r="L36" i="7" s="1" a="1"/>
  <c r="L36" i="7" s="1"/>
  <c r="M36" i="7" s="1" a="1"/>
  <c r="M36" i="7" s="1"/>
  <c r="N36" i="7" s="1" a="1"/>
  <c r="N36" i="7" s="1"/>
  <c r="O36" i="7" s="1" a="1"/>
  <c r="O36" i="7" s="1"/>
  <c r="P36" i="7" s="1" a="1"/>
  <c r="P36" i="7" s="1"/>
  <c r="Q36" i="7" s="1" a="1"/>
  <c r="Q36" i="7" s="1"/>
  <c r="R36" i="7" s="1" a="1"/>
  <c r="R36" i="7" s="1"/>
  <c r="S36" i="7" s="1" a="1"/>
  <c r="S36" i="7" s="1"/>
  <c r="T36" i="7" s="1" a="1"/>
  <c r="T36" i="7" s="1"/>
  <c r="U36" i="7" s="1" a="1"/>
  <c r="U36" i="7" s="1"/>
  <c r="V36" i="7" s="1" a="1"/>
  <c r="V36" i="7" s="1"/>
  <c r="W36" i="7" s="1" a="1"/>
  <c r="W36" i="7" s="1"/>
  <c r="X36" i="7" s="1" a="1"/>
  <c r="X36" i="7" s="1"/>
  <c r="Y36" i="7" s="1" a="1"/>
  <c r="Y36" i="7" s="1"/>
  <c r="Z36" i="7" s="1" a="1"/>
  <c r="Z36" i="7" s="1"/>
  <c r="AA36" i="7" s="1" a="1"/>
  <c r="AA36" i="7" s="1"/>
  <c r="AB36" i="7" s="1" a="1"/>
  <c r="AB36" i="7" s="1"/>
  <c r="AC36" i="7" s="1" a="1"/>
  <c r="AC36" i="7" s="1"/>
  <c r="AD36" i="7" s="1" a="1"/>
  <c r="AD36" i="7" s="1"/>
  <c r="AE36" i="7" s="1" a="1"/>
  <c r="AE36" i="7" s="1"/>
  <c r="D41" i="7" s="1" a="1"/>
  <c r="D41" i="7" s="1"/>
  <c r="E41" i="7" s="1" a="1"/>
  <c r="E41" i="7" s="1"/>
  <c r="F41" i="7" s="1" a="1"/>
  <c r="F41" i="7" s="1"/>
  <c r="G41" i="7" s="1" a="1"/>
  <c r="G41" i="7" s="1"/>
  <c r="H41" i="7" s="1" a="1"/>
  <c r="H41" i="7" s="1"/>
  <c r="I41" i="7" s="1" a="1"/>
  <c r="I41" i="7" s="1"/>
  <c r="J41" i="7" s="1" a="1"/>
  <c r="J41" i="7" s="1"/>
  <c r="K41" i="7" s="1" a="1"/>
  <c r="K41" i="7" s="1"/>
  <c r="L41" i="7" s="1" a="1"/>
  <c r="L41" i="7" s="1"/>
  <c r="M41" i="7" s="1" a="1"/>
  <c r="M41" i="7" s="1"/>
  <c r="N41" i="7" s="1" a="1"/>
  <c r="N41" i="7" s="1"/>
  <c r="O41" i="7" s="1" a="1"/>
  <c r="O41" i="7" s="1"/>
  <c r="P41" i="7" s="1" a="1"/>
  <c r="P41" i="7" s="1"/>
  <c r="Q41" i="7" s="1" a="1"/>
  <c r="Q41" i="7" s="1"/>
  <c r="R41" i="7" s="1" a="1"/>
  <c r="R41" i="7" s="1"/>
  <c r="S41" i="7" s="1" a="1"/>
  <c r="S41" i="7" s="1"/>
  <c r="T41" i="7" s="1" a="1"/>
  <c r="T41" i="7" s="1"/>
  <c r="U41" i="7" s="1" a="1"/>
  <c r="U41" i="7" s="1"/>
  <c r="V41" i="7" s="1" a="1"/>
  <c r="V41" i="7" s="1"/>
  <c r="W41" i="7" s="1" a="1"/>
  <c r="W41" i="7" s="1"/>
  <c r="X41" i="7" s="1" a="1"/>
  <c r="X41" i="7" s="1"/>
  <c r="Y41" i="7" s="1" a="1"/>
  <c r="Y41" i="7" s="1"/>
  <c r="Z41" i="7" s="1" a="1"/>
  <c r="Z41" i="7" s="1"/>
  <c r="AA41" i="7" s="1" a="1"/>
  <c r="AA41" i="7" s="1"/>
  <c r="AB41" i="7" s="1" a="1"/>
  <c r="AB41" i="7" s="1"/>
  <c r="AC41" i="7" s="1" a="1"/>
  <c r="AC41" i="7" s="1"/>
  <c r="AD41" i="7" s="1" a="1"/>
  <c r="AD41" i="7" s="1"/>
  <c r="AE41" i="7" s="1" a="1"/>
  <c r="AE41" i="7" s="1"/>
  <c r="D46" i="7" s="1" a="1"/>
  <c r="D46" i="7" s="1"/>
  <c r="E46" i="7" s="1" a="1"/>
  <c r="E46" i="7" s="1"/>
  <c r="F46" i="7" s="1" a="1"/>
  <c r="F46" i="7" s="1"/>
  <c r="G46" i="7" s="1" a="1"/>
  <c r="G46" i="7" s="1"/>
  <c r="H46" i="7" s="1" a="1"/>
  <c r="H46" i="7" s="1"/>
  <c r="I46" i="7" s="1" a="1"/>
  <c r="I46" i="7" s="1"/>
  <c r="J46" i="7" s="1" a="1"/>
  <c r="J46" i="7" s="1"/>
  <c r="K46" i="7" s="1" a="1"/>
  <c r="K46" i="7" s="1"/>
  <c r="L46" i="7" s="1" a="1"/>
  <c r="L46" i="7" s="1"/>
  <c r="M46" i="7" s="1" a="1"/>
  <c r="M46" i="7" s="1"/>
  <c r="N46" i="7" s="1" a="1"/>
  <c r="N46" i="7" s="1"/>
  <c r="O46" i="7" s="1" a="1"/>
  <c r="O46" i="7" s="1"/>
  <c r="P46" i="7" s="1" a="1"/>
  <c r="P46" i="7" s="1"/>
  <c r="Q46" i="7" s="1" a="1"/>
  <c r="Q46" i="7" s="1"/>
  <c r="R46" i="7" s="1" a="1"/>
  <c r="R46" i="7" s="1"/>
  <c r="S46" i="7" s="1" a="1"/>
  <c r="S46" i="7" s="1"/>
  <c r="T46" i="7" s="1" a="1"/>
  <c r="T46" i="7" s="1"/>
  <c r="U46" i="7" s="1" a="1"/>
  <c r="U46" i="7" s="1"/>
  <c r="V46" i="7" s="1" a="1"/>
  <c r="V46" i="7" s="1"/>
  <c r="W46" i="7" s="1" a="1"/>
  <c r="W46" i="7" s="1"/>
  <c r="X46" i="7" s="1" a="1"/>
  <c r="X46" i="7" s="1"/>
  <c r="Y46" i="7" s="1" a="1"/>
  <c r="Y46" i="7" s="1"/>
  <c r="Z46" i="7" s="1" a="1"/>
  <c r="Z46" i="7" s="1"/>
  <c r="AA46" i="7" s="1" a="1"/>
  <c r="AA46" i="7" s="1"/>
  <c r="AB46" i="7" s="1" a="1"/>
  <c r="AB46" i="7" s="1"/>
  <c r="AC46" i="7" s="1" a="1"/>
  <c r="AC46" i="7" s="1"/>
  <c r="AD46" i="7" s="1" a="1"/>
  <c r="AD46" i="7" s="1"/>
  <c r="AE46" i="7" s="1" a="1"/>
  <c r="AE46" i="7" s="1"/>
  <c r="D51" i="7" s="1" a="1"/>
  <c r="D51" i="7" s="1"/>
  <c r="E51" i="7" s="1" a="1"/>
  <c r="E51" i="7" s="1"/>
  <c r="F51" i="7" s="1" a="1"/>
  <c r="F51" i="7" s="1"/>
  <c r="G51" i="7" s="1" a="1"/>
  <c r="G51" i="7" s="1"/>
  <c r="H51" i="7" s="1" a="1"/>
  <c r="H51" i="7" s="1"/>
  <c r="I51" i="7" s="1" a="1"/>
  <c r="I51" i="7" s="1"/>
  <c r="J51" i="7" s="1" a="1"/>
  <c r="J51" i="7" s="1"/>
  <c r="K51" i="7" s="1" a="1"/>
  <c r="K51" i="7" s="1"/>
  <c r="L51" i="7" s="1" a="1"/>
  <c r="L51" i="7" s="1"/>
  <c r="M51" i="7" s="1" a="1"/>
  <c r="M51" i="7" s="1"/>
  <c r="N51" i="7" s="1" a="1"/>
  <c r="N51" i="7" s="1"/>
  <c r="O51" i="7" s="1" a="1"/>
  <c r="O51" i="7" s="1"/>
  <c r="P51" i="7" s="1" a="1"/>
  <c r="P51" i="7" s="1"/>
  <c r="Q51" i="7" s="1" a="1"/>
  <c r="Q51" i="7" s="1"/>
  <c r="R51" i="7" s="1" a="1"/>
  <c r="R51" i="7" s="1"/>
  <c r="S51" i="7" s="1" a="1"/>
  <c r="S51" i="7" s="1"/>
  <c r="T51" i="7" s="1" a="1"/>
  <c r="T51" i="7" s="1"/>
  <c r="U51" i="7" s="1" a="1"/>
  <c r="U51" i="7" s="1"/>
  <c r="V51" i="7" s="1" a="1"/>
  <c r="V51" i="7" s="1"/>
  <c r="W51" i="7" s="1" a="1"/>
  <c r="W51" i="7" s="1"/>
  <c r="X51" i="7" s="1" a="1"/>
  <c r="X51" i="7" s="1"/>
  <c r="Y51" i="7" s="1" a="1"/>
  <c r="Y51" i="7" s="1"/>
  <c r="Z51" i="7" s="1" a="1"/>
  <c r="Z51" i="7" s="1"/>
  <c r="AA51" i="7" s="1" a="1"/>
  <c r="AA51" i="7" s="1"/>
  <c r="AB51" i="7" s="1" a="1"/>
  <c r="AB51" i="7" s="1"/>
  <c r="AC51" i="7" s="1" a="1"/>
  <c r="AC51" i="7" s="1"/>
  <c r="AD51" i="7" s="1" a="1"/>
  <c r="AD51" i="7" s="1"/>
  <c r="AE51" i="7" s="1" a="1"/>
  <c r="AE51" i="7" s="1"/>
  <c r="D56" i="7" s="1" a="1"/>
  <c r="D56" i="7" s="1"/>
  <c r="E56" i="7" s="1" a="1"/>
  <c r="E56" i="7" s="1"/>
  <c r="F56" i="7" s="1" a="1"/>
  <c r="F56" i="7" s="1"/>
  <c r="G56" i="7" s="1" a="1"/>
  <c r="G56" i="7" s="1"/>
  <c r="H56" i="7" s="1" a="1"/>
  <c r="H56" i="7" s="1"/>
  <c r="I56" i="7" s="1" a="1"/>
  <c r="I56" i="7" s="1"/>
  <c r="J56" i="7" s="1" a="1"/>
  <c r="J56" i="7" s="1"/>
  <c r="K56" i="7" s="1" a="1"/>
  <c r="K56" i="7" s="1"/>
  <c r="L56" i="7" s="1" a="1"/>
  <c r="L56" i="7" s="1"/>
  <c r="M56" i="7" s="1" a="1"/>
  <c r="M56" i="7" s="1"/>
  <c r="N56" i="7" s="1" a="1"/>
  <c r="N56" i="7" s="1"/>
  <c r="O56" i="7" s="1" a="1"/>
  <c r="O56" i="7" s="1"/>
  <c r="P56" i="7" s="1" a="1"/>
  <c r="P56" i="7" s="1"/>
  <c r="Q56" i="7" s="1" a="1"/>
  <c r="Q56" i="7" s="1"/>
  <c r="R56" i="7" s="1" a="1"/>
  <c r="R56" i="7" s="1"/>
  <c r="S56" i="7" s="1" a="1"/>
  <c r="S56" i="7" s="1"/>
  <c r="T56" i="7" s="1" a="1"/>
  <c r="T56" i="7" s="1"/>
  <c r="U56" i="7" s="1" a="1"/>
  <c r="U56" i="7" s="1"/>
  <c r="V56" i="7" s="1" a="1"/>
  <c r="V56" i="7" s="1"/>
  <c r="W56" i="7" s="1" a="1"/>
  <c r="W56" i="7" s="1"/>
  <c r="X56" i="7" s="1" a="1"/>
  <c r="X56" i="7" s="1"/>
  <c r="Y56" i="7" s="1" a="1"/>
  <c r="Y56" i="7" s="1"/>
  <c r="Z56" i="7" s="1" a="1"/>
  <c r="Z56" i="7" s="1"/>
  <c r="AA56" i="7" s="1" a="1"/>
  <c r="AA56" i="7" s="1"/>
  <c r="AB56" i="7" s="1" a="1"/>
  <c r="AB56" i="7" s="1"/>
  <c r="AC56" i="7" s="1" a="1"/>
  <c r="AC56" i="7" s="1"/>
  <c r="AD56" i="7" s="1" a="1"/>
  <c r="AD56" i="7" s="1"/>
  <c r="AE56" i="7" s="1" a="1"/>
  <c r="AE56" i="7" s="1"/>
  <c r="D61" i="7" s="1" a="1"/>
  <c r="D61" i="7" s="1"/>
  <c r="E61" i="7" s="1" a="1"/>
  <c r="E61" i="7" s="1"/>
  <c r="F61" i="7" s="1" a="1"/>
  <c r="F61" i="7" s="1"/>
  <c r="G61" i="7" s="1" a="1"/>
  <c r="G61" i="7" s="1"/>
  <c r="H61" i="7" s="1" a="1"/>
  <c r="H61" i="7" s="1"/>
  <c r="I61" i="7" s="1" a="1"/>
  <c r="I61" i="7" s="1"/>
  <c r="J61" i="7" s="1" a="1"/>
  <c r="J61" i="7" s="1"/>
  <c r="K61" i="7" s="1" a="1"/>
  <c r="K61" i="7" s="1"/>
  <c r="L61" i="7" s="1" a="1"/>
  <c r="L61" i="7" s="1"/>
  <c r="M61" i="7" s="1" a="1"/>
  <c r="M61" i="7" s="1"/>
  <c r="N61" i="7" s="1" a="1"/>
  <c r="N61" i="7" s="1"/>
  <c r="O61" i="7" s="1" a="1"/>
  <c r="O61" i="7" s="1"/>
  <c r="P61" i="7" s="1" a="1"/>
  <c r="P61" i="7" s="1"/>
  <c r="Q61" i="7" s="1" a="1"/>
  <c r="Q61" i="7" s="1"/>
  <c r="R61" i="7" s="1" a="1"/>
  <c r="R61" i="7" s="1"/>
  <c r="S61" i="7" s="1" a="1"/>
  <c r="S61" i="7" s="1"/>
  <c r="T61" i="7" s="1" a="1"/>
  <c r="T61" i="7" s="1"/>
  <c r="U61" i="7" s="1" a="1"/>
  <c r="U61" i="7" s="1"/>
  <c r="V61" i="7" s="1" a="1"/>
  <c r="V61" i="7" s="1"/>
  <c r="W61" i="7" s="1" a="1"/>
  <c r="W61" i="7" s="1"/>
  <c r="X61" i="7" s="1" a="1"/>
  <c r="X61" i="7" s="1"/>
  <c r="Y61" i="7" s="1" a="1"/>
  <c r="Y61" i="7" s="1"/>
  <c r="Z61" i="7" s="1" a="1"/>
  <c r="Z61" i="7" s="1"/>
  <c r="AA61" i="7" s="1" a="1"/>
  <c r="AA61" i="7" s="1"/>
  <c r="AB61" i="7" s="1" a="1"/>
  <c r="AB61" i="7" s="1"/>
  <c r="AC61" i="7" s="1" a="1"/>
  <c r="AC61" i="7" s="1"/>
  <c r="AD61" i="7" s="1" a="1"/>
  <c r="AD61" i="7" s="1"/>
  <c r="AE61" i="7" s="1" a="1"/>
  <c r="AE61" i="7" s="1"/>
  <c r="D66" i="7" s="1" a="1"/>
  <c r="D66" i="7" s="1"/>
  <c r="E66" i="7" s="1" a="1"/>
  <c r="E66" i="7" s="1"/>
  <c r="F66" i="7" s="1" a="1"/>
  <c r="F66" i="7" s="1"/>
  <c r="G66" i="7" s="1" a="1"/>
  <c r="G66" i="7" s="1"/>
  <c r="H66" i="7" s="1" a="1"/>
  <c r="H66" i="7" s="1"/>
  <c r="I66" i="7" s="1" a="1"/>
  <c r="I66" i="7" s="1"/>
  <c r="J66" i="7" s="1" a="1"/>
  <c r="J66" i="7" s="1"/>
  <c r="K66" i="7" s="1" a="1"/>
  <c r="K66" i="7" s="1"/>
  <c r="L66" i="7" s="1" a="1"/>
  <c r="L66" i="7" s="1"/>
  <c r="M66" i="7" s="1" a="1"/>
  <c r="M66" i="7" s="1"/>
  <c r="N66" i="7" s="1" a="1"/>
  <c r="N66" i="7" s="1"/>
  <c r="O66" i="7" s="1" a="1"/>
  <c r="O66" i="7" s="1"/>
  <c r="P66" i="7" s="1" a="1"/>
  <c r="P66" i="7" s="1"/>
  <c r="Q66" i="7" s="1" a="1"/>
  <c r="Q66" i="7" s="1"/>
  <c r="R66" i="7" s="1" a="1"/>
  <c r="R66" i="7" s="1"/>
  <c r="S66" i="7" s="1" a="1"/>
  <c r="S66" i="7" s="1"/>
  <c r="T66" i="7" s="1" a="1"/>
  <c r="T66" i="7" s="1"/>
  <c r="U66" i="7" s="1" a="1"/>
  <c r="U66" i="7" s="1"/>
  <c r="V66" i="7" s="1" a="1"/>
  <c r="V66" i="7" s="1"/>
  <c r="W66" i="7" s="1" a="1"/>
  <c r="W66" i="7" s="1"/>
  <c r="X66" i="7" s="1" a="1"/>
  <c r="X66" i="7" s="1"/>
  <c r="Y66" i="7" s="1" a="1"/>
  <c r="Y66" i="7" s="1"/>
  <c r="Z66" i="7" s="1" a="1"/>
  <c r="Z66" i="7" s="1"/>
  <c r="AA66" i="7" s="1" a="1"/>
  <c r="AA66" i="7" s="1"/>
  <c r="AB66" i="7" s="1" a="1"/>
  <c r="AB66" i="7" s="1"/>
  <c r="AC66" i="7" s="1" a="1"/>
  <c r="AC66" i="7" s="1"/>
  <c r="AD66" i="7" s="1" a="1"/>
  <c r="AD66" i="7" s="1"/>
  <c r="AE66" i="7" s="1" a="1"/>
  <c r="AE66" i="7" s="1"/>
  <c r="D71" i="7" s="1" a="1"/>
  <c r="D71" i="7" s="1"/>
  <c r="E71" i="7" s="1" a="1"/>
  <c r="E71" i="7" s="1"/>
  <c r="F71" i="7" s="1" a="1"/>
  <c r="F71" i="7" s="1"/>
  <c r="G71" i="7" s="1" a="1"/>
  <c r="G71" i="7" s="1"/>
  <c r="H71" i="7" s="1" a="1"/>
  <c r="H71" i="7" s="1"/>
  <c r="I71" i="7" s="1" a="1"/>
  <c r="I71" i="7" s="1"/>
  <c r="J71" i="7" s="1" a="1"/>
  <c r="J71" i="7" s="1"/>
  <c r="K71" i="7" s="1" a="1"/>
  <c r="K71" i="7" s="1"/>
  <c r="L71" i="7" s="1" a="1"/>
  <c r="L71" i="7" s="1"/>
  <c r="M71" i="7" s="1" a="1"/>
  <c r="M71" i="7" s="1"/>
  <c r="N71" i="7" s="1" a="1"/>
  <c r="N71" i="7" s="1"/>
  <c r="O71" i="7" s="1" a="1"/>
  <c r="O71" i="7" s="1"/>
  <c r="P71" i="7" s="1" a="1"/>
  <c r="P71" i="7" s="1"/>
  <c r="Q71" i="7" s="1" a="1"/>
  <c r="Q71" i="7" s="1"/>
  <c r="R71" i="7" s="1" a="1"/>
  <c r="R71" i="7" s="1"/>
  <c r="S71" i="7" s="1" a="1"/>
  <c r="S71" i="7" s="1"/>
  <c r="T71" i="7" s="1" a="1"/>
  <c r="T71" i="7" s="1"/>
  <c r="U71" i="7" s="1" a="1"/>
  <c r="U71" i="7" s="1"/>
  <c r="V71" i="7" s="1" a="1"/>
  <c r="V71" i="7" s="1"/>
  <c r="W71" i="7" s="1" a="1"/>
  <c r="W71" i="7" s="1"/>
  <c r="X71" i="7" s="1" a="1"/>
  <c r="X71" i="7" s="1"/>
  <c r="Y71" i="7" s="1" a="1"/>
  <c r="Y71" i="7" s="1"/>
  <c r="Z71" i="7" s="1" a="1"/>
  <c r="Z71" i="7" s="1"/>
  <c r="AA71" i="7" s="1" a="1"/>
  <c r="AA71" i="7" s="1"/>
  <c r="AB71" i="7" s="1" a="1"/>
  <c r="AB71" i="7" s="1"/>
  <c r="AC71" i="7" s="1" a="1"/>
  <c r="AC71" i="7" s="1"/>
  <c r="AD71" i="7" s="1" a="1"/>
  <c r="AD71" i="7" s="1"/>
  <c r="AE71" i="7" s="1" a="1"/>
  <c r="AE71" i="7" s="1"/>
  <c r="D76" i="7" s="1" a="1"/>
  <c r="D76" i="7" s="1"/>
  <c r="E76" i="7" s="1" a="1"/>
  <c r="E76" i="7" s="1"/>
  <c r="F76" i="7" s="1" a="1"/>
  <c r="F76" i="7" s="1"/>
  <c r="G76" i="7" s="1" a="1"/>
  <c r="G76" i="7" s="1"/>
  <c r="H76" i="7" s="1" a="1"/>
  <c r="H76" i="7" s="1"/>
  <c r="I76" i="7" s="1" a="1"/>
  <c r="I76" i="7" s="1"/>
  <c r="J76" i="7" s="1" a="1"/>
  <c r="J76" i="7" s="1"/>
  <c r="K76" i="7" s="1" a="1"/>
  <c r="K76" i="7" s="1"/>
  <c r="L76" i="7" s="1" a="1"/>
  <c r="L76" i="7" s="1"/>
  <c r="M76" i="7" s="1" a="1"/>
  <c r="M76" i="7" s="1"/>
  <c r="N76" i="7" s="1" a="1"/>
  <c r="N76" i="7" s="1"/>
  <c r="O76" i="7" s="1" a="1"/>
  <c r="O76" i="7" s="1"/>
  <c r="P76" i="7" s="1" a="1"/>
  <c r="P76" i="7" s="1"/>
  <c r="Q76" i="7" s="1" a="1"/>
  <c r="Q76" i="7" s="1"/>
  <c r="R76" i="7" s="1" a="1"/>
  <c r="R76" i="7" s="1"/>
  <c r="S76" i="7" s="1" a="1"/>
  <c r="S76" i="7" s="1"/>
  <c r="T76" i="7" s="1" a="1"/>
  <c r="T76" i="7" s="1"/>
  <c r="U76" i="7" s="1" a="1"/>
  <c r="U76" i="7" s="1"/>
  <c r="V76" i="7" s="1" a="1"/>
  <c r="V76" i="7" s="1"/>
  <c r="W76" i="7" s="1" a="1"/>
  <c r="W76" i="7" s="1"/>
  <c r="X76" i="7" s="1" a="1"/>
  <c r="X76" i="7" s="1"/>
  <c r="Y76" i="7" s="1" a="1"/>
  <c r="Y76" i="7" s="1"/>
  <c r="Z76" i="7" s="1" a="1"/>
  <c r="Z76" i="7" s="1"/>
  <c r="AA76" i="7" s="1" a="1"/>
  <c r="AA76" i="7" s="1"/>
  <c r="AB76" i="7" s="1" a="1"/>
  <c r="AB76" i="7" s="1"/>
  <c r="AC76" i="7" s="1" a="1"/>
  <c r="AC76" i="7" s="1"/>
  <c r="AD76" i="7" s="1" a="1"/>
  <c r="AD76" i="7" s="1"/>
  <c r="AE76" i="7" s="1" a="1"/>
  <c r="AE76" i="7" s="1"/>
  <c r="E56" i="6" a="1"/>
  <c r="E56" i="6" s="1"/>
  <c r="F56" i="6" s="1" a="1"/>
  <c r="F56" i="6" s="1"/>
  <c r="G56" i="6" s="1" a="1"/>
  <c r="G56" i="6" s="1"/>
  <c r="H56" i="6" s="1" a="1"/>
  <c r="H56" i="6" s="1"/>
  <c r="I56" i="6" s="1" a="1"/>
  <c r="I56" i="6" s="1"/>
  <c r="J56" i="6" s="1" a="1"/>
  <c r="J56" i="6" s="1"/>
  <c r="K56" i="6" s="1" a="1"/>
  <c r="K56" i="6" s="1"/>
  <c r="L56" i="6" s="1" a="1"/>
  <c r="L56" i="6" s="1"/>
  <c r="M56" i="6" s="1" a="1"/>
  <c r="M56" i="6" s="1"/>
  <c r="N56" i="6" s="1" a="1"/>
  <c r="N56" i="6" s="1"/>
  <c r="O56" i="6" s="1" a="1"/>
  <c r="O56" i="6" s="1"/>
  <c r="P56" i="6" s="1" a="1"/>
  <c r="P56" i="6" s="1"/>
  <c r="Q56" i="6" s="1" a="1"/>
  <c r="Q56" i="6" s="1"/>
  <c r="R56" i="6" s="1" a="1"/>
  <c r="R56" i="6" s="1"/>
  <c r="S56" i="6" s="1" a="1"/>
  <c r="S56" i="6" s="1"/>
  <c r="T56" i="6" s="1" a="1"/>
  <c r="T56" i="6" s="1"/>
  <c r="U56" i="6" s="1" a="1"/>
  <c r="U56" i="6" s="1"/>
  <c r="V56" i="6" s="1" a="1"/>
  <c r="V56" i="6" s="1"/>
  <c r="W56" i="6" s="1" a="1"/>
  <c r="W56" i="6" s="1"/>
  <c r="X56" i="6" s="1" a="1"/>
  <c r="X56" i="6" s="1"/>
  <c r="Y56" i="6" s="1" a="1"/>
  <c r="Y56" i="6" s="1"/>
  <c r="Z56" i="6" s="1" a="1"/>
  <c r="Z56" i="6" s="1"/>
  <c r="AA56" i="6" s="1" a="1"/>
  <c r="AA56" i="6" s="1"/>
  <c r="AB56" i="6" s="1" a="1"/>
  <c r="AB56" i="6" s="1"/>
  <c r="AC56" i="6" s="1" a="1"/>
  <c r="AC56" i="6" s="1"/>
  <c r="AD56" i="6" s="1" a="1"/>
  <c r="AD56" i="6" s="1"/>
  <c r="AE56" i="6" s="1" a="1"/>
  <c r="AE56" i="6" s="1"/>
  <c r="F16" i="6" a="1"/>
  <c r="F16" i="6" s="1"/>
  <c r="G16" i="6" s="1" a="1"/>
  <c r="G16" i="6" s="1"/>
  <c r="H16" i="6" s="1" a="1"/>
  <c r="H16" i="6" s="1"/>
  <c r="I16" i="6" s="1" a="1"/>
  <c r="I16" i="6" s="1"/>
  <c r="J16" i="6" s="1" a="1"/>
  <c r="J16" i="6" s="1"/>
  <c r="K16" i="6" s="1" a="1"/>
  <c r="K16" i="6" s="1"/>
  <c r="L16" i="6" s="1" a="1"/>
  <c r="L16" i="6" s="1"/>
  <c r="M16" i="6" s="1" a="1"/>
  <c r="M16" i="6" s="1"/>
  <c r="N16" i="6" s="1" a="1"/>
  <c r="N16" i="6" s="1"/>
  <c r="O16" i="6" s="1" a="1"/>
  <c r="O16" i="6" s="1"/>
  <c r="P16" i="6" s="1" a="1"/>
  <c r="P16" i="6" s="1"/>
  <c r="Q16" i="6" s="1" a="1"/>
  <c r="Q16" i="6" s="1"/>
  <c r="R16" i="6" s="1" a="1"/>
  <c r="R16" i="6" s="1"/>
  <c r="S16" i="6" s="1" a="1"/>
  <c r="S16" i="6" s="1"/>
  <c r="T16" i="6" s="1" a="1"/>
  <c r="T16" i="6" s="1"/>
  <c r="U16" i="6" s="1" a="1"/>
  <c r="U16" i="6" s="1"/>
  <c r="V16" i="6" s="1" a="1"/>
  <c r="V16" i="6" s="1"/>
  <c r="W16" i="6" s="1" a="1"/>
  <c r="W16" i="6" s="1"/>
  <c r="X16" i="6" s="1" a="1"/>
  <c r="X16" i="6" s="1"/>
  <c r="Y16" i="6" s="1" a="1"/>
  <c r="Y16" i="6" s="1"/>
  <c r="Z16" i="6" s="1" a="1"/>
  <c r="Z16" i="6" s="1"/>
  <c r="AA16" i="6" s="1" a="1"/>
  <c r="AA16" i="6" s="1"/>
  <c r="AB16" i="6" s="1" a="1"/>
  <c r="AB16" i="6" s="1"/>
  <c r="AC16" i="6" s="1" a="1"/>
  <c r="AC16" i="6" s="1"/>
  <c r="AD16" i="6" s="1" a="1"/>
  <c r="AD16" i="6" s="1"/>
  <c r="AE16" i="6" s="1" a="1"/>
  <c r="AE16" i="6" s="1"/>
  <c r="D21" i="6" s="1" a="1"/>
  <c r="D21" i="6" s="1"/>
  <c r="E21" i="6" s="1" a="1"/>
  <c r="E21" i="6" s="1"/>
  <c r="F21" i="6" s="1" a="1"/>
  <c r="F21" i="6" s="1"/>
  <c r="G21" i="6" s="1" a="1"/>
  <c r="G21" i="6" s="1"/>
  <c r="H21" i="6" s="1" a="1"/>
  <c r="H21" i="6" s="1"/>
  <c r="I21" i="6" s="1" a="1"/>
  <c r="I21" i="6" s="1"/>
  <c r="J21" i="6" s="1" a="1"/>
  <c r="J21" i="6" s="1"/>
  <c r="K21" i="6" s="1" a="1"/>
  <c r="K21" i="6" s="1"/>
  <c r="L21" i="6" s="1" a="1"/>
  <c r="L21" i="6" s="1"/>
  <c r="M21" i="6" s="1" a="1"/>
  <c r="M21" i="6" s="1"/>
  <c r="N21" i="6" s="1" a="1"/>
  <c r="N21" i="6" s="1"/>
  <c r="O21" i="6" s="1" a="1"/>
  <c r="O21" i="6" s="1"/>
  <c r="P21" i="6" s="1" a="1"/>
  <c r="P21" i="6" s="1"/>
  <c r="Q21" i="6" s="1" a="1"/>
  <c r="Q21" i="6" s="1"/>
  <c r="R21" i="6" s="1" a="1"/>
  <c r="R21" i="6" s="1"/>
  <c r="S21" i="6" s="1" a="1"/>
  <c r="S21" i="6" s="1"/>
  <c r="T21" i="6" s="1" a="1"/>
  <c r="T21" i="6" s="1"/>
  <c r="U21" i="6" s="1" a="1"/>
  <c r="U21" i="6" s="1"/>
  <c r="V21" i="6" s="1" a="1"/>
  <c r="V21" i="6" s="1"/>
  <c r="W21" i="6" s="1" a="1"/>
  <c r="W21" i="6" s="1"/>
  <c r="X21" i="6" s="1" a="1"/>
  <c r="X21" i="6" s="1"/>
  <c r="Y21" i="6" s="1" a="1"/>
  <c r="Y21" i="6" s="1"/>
  <c r="Z21" i="6" s="1" a="1"/>
  <c r="Z21" i="6" s="1"/>
  <c r="AA21" i="6" s="1" a="1"/>
  <c r="AA21" i="6" s="1"/>
  <c r="AB21" i="6" s="1" a="1"/>
  <c r="AB21" i="6" s="1"/>
  <c r="AC21" i="6" s="1" a="1"/>
  <c r="AC21" i="6" s="1"/>
  <c r="AD21" i="6" s="1" a="1"/>
  <c r="AD21" i="6" s="1"/>
  <c r="AE21" i="6" s="1" a="1"/>
  <c r="AE21" i="6" s="1"/>
  <c r="D26" i="6" s="1" a="1"/>
  <c r="D26" i="6" s="1"/>
  <c r="E26" i="6" s="1" a="1"/>
  <c r="E26" i="6" s="1"/>
  <c r="F26" i="6" s="1" a="1"/>
  <c r="F26" i="6" s="1"/>
  <c r="G26" i="6" s="1" a="1"/>
  <c r="G26" i="6" s="1"/>
  <c r="H26" i="6" s="1" a="1"/>
  <c r="H26" i="6" s="1"/>
  <c r="I26" i="6" s="1" a="1"/>
  <c r="I26" i="6" s="1"/>
  <c r="J26" i="6" s="1" a="1"/>
  <c r="J26" i="6" s="1"/>
  <c r="K26" i="6" s="1" a="1"/>
  <c r="K26" i="6" s="1"/>
  <c r="L26" i="6" s="1" a="1"/>
  <c r="L26" i="6" s="1"/>
  <c r="M26" i="6" s="1" a="1"/>
  <c r="M26" i="6" s="1"/>
  <c r="N26" i="6" s="1" a="1"/>
  <c r="N26" i="6" s="1"/>
  <c r="O26" i="6" s="1" a="1"/>
  <c r="O26" i="6" s="1"/>
  <c r="P26" i="6" s="1" a="1"/>
  <c r="P26" i="6" s="1"/>
  <c r="Q26" i="6" s="1" a="1"/>
  <c r="Q26" i="6" s="1"/>
  <c r="R26" i="6" s="1" a="1"/>
  <c r="R26" i="6" s="1"/>
  <c r="S26" i="6" s="1" a="1"/>
  <c r="S26" i="6" s="1"/>
  <c r="T26" i="6" s="1" a="1"/>
  <c r="T26" i="6" s="1"/>
  <c r="U26" i="6" s="1" a="1"/>
  <c r="U26" i="6" s="1"/>
  <c r="V26" i="6" s="1" a="1"/>
  <c r="V26" i="6" s="1"/>
  <c r="W26" i="6" s="1" a="1"/>
  <c r="W26" i="6" s="1"/>
  <c r="X26" i="6" s="1" a="1"/>
  <c r="X26" i="6" s="1"/>
  <c r="Y26" i="6" s="1" a="1"/>
  <c r="Y26" i="6" s="1"/>
  <c r="Z26" i="6" s="1" a="1"/>
  <c r="Z26" i="6" s="1"/>
  <c r="AA26" i="6" s="1" a="1"/>
  <c r="AA26" i="6" s="1"/>
  <c r="AB26" i="6" s="1" a="1"/>
  <c r="AB26" i="6" s="1"/>
  <c r="AC26" i="6" s="1" a="1"/>
  <c r="AC26" i="6" s="1"/>
  <c r="AD26" i="6" s="1" a="1"/>
  <c r="AD26" i="6" s="1"/>
  <c r="AE26" i="6" s="1" a="1"/>
  <c r="AE26" i="6" s="1"/>
  <c r="D31" i="6" s="1" a="1"/>
  <c r="D31" i="6" s="1"/>
  <c r="E31" i="6" s="1" a="1"/>
  <c r="E31" i="6" s="1"/>
  <c r="F31" i="6" s="1" a="1"/>
  <c r="F31" i="6" s="1"/>
  <c r="G31" i="6" s="1" a="1"/>
  <c r="G31" i="6" s="1"/>
  <c r="H31" i="6" s="1" a="1"/>
  <c r="H31" i="6" s="1"/>
  <c r="I31" i="6" s="1" a="1"/>
  <c r="I31" i="6" s="1"/>
  <c r="J31" i="6" s="1" a="1"/>
  <c r="J31" i="6" s="1"/>
  <c r="K31" i="6" s="1" a="1"/>
  <c r="K31" i="6" s="1"/>
  <c r="L31" i="6" s="1" a="1"/>
  <c r="L31" i="6" s="1"/>
  <c r="M31" i="6" s="1" a="1"/>
  <c r="M31" i="6" s="1"/>
  <c r="N31" i="6" s="1" a="1"/>
  <c r="N31" i="6" s="1"/>
  <c r="O31" i="6" s="1" a="1"/>
  <c r="O31" i="6" s="1"/>
  <c r="P31" i="6" s="1" a="1"/>
  <c r="P31" i="6" s="1"/>
  <c r="Q31" i="6" s="1" a="1"/>
  <c r="Q31" i="6" s="1"/>
  <c r="R31" i="6" s="1" a="1"/>
  <c r="R31" i="6" s="1"/>
  <c r="S31" i="6" s="1" a="1"/>
  <c r="S31" i="6" s="1"/>
  <c r="T31" i="6" s="1" a="1"/>
  <c r="T31" i="6" s="1"/>
  <c r="U31" i="6" s="1" a="1"/>
  <c r="U31" i="6" s="1"/>
  <c r="V31" i="6" s="1" a="1"/>
  <c r="V31" i="6" s="1"/>
  <c r="W31" i="6" s="1" a="1"/>
  <c r="W31" i="6" s="1"/>
  <c r="X31" i="6" s="1" a="1"/>
  <c r="X31" i="6" s="1"/>
  <c r="Y31" i="6" s="1" a="1"/>
  <c r="Y31" i="6" s="1"/>
  <c r="Z31" i="6" s="1" a="1"/>
  <c r="Z31" i="6" s="1"/>
  <c r="AA31" i="6" s="1" a="1"/>
  <c r="AA31" i="6" s="1"/>
  <c r="AB31" i="6" s="1" a="1"/>
  <c r="AB31" i="6" s="1"/>
  <c r="AC31" i="6" s="1" a="1"/>
  <c r="AC31" i="6" s="1"/>
  <c r="AD31" i="6" s="1" a="1"/>
  <c r="AD31" i="6" s="1"/>
  <c r="AE31" i="6" s="1" a="1"/>
  <c r="AE31" i="6" s="1"/>
  <c r="AN77" i="6"/>
  <c r="AN68" i="6"/>
  <c r="AN67" i="6"/>
  <c r="AN63" i="6"/>
  <c r="AN58" i="6"/>
  <c r="AN57" i="6"/>
  <c r="AN53" i="6"/>
  <c r="AN52" i="6"/>
  <c r="AN42" i="6"/>
  <c r="AN37" i="6"/>
  <c r="AN22" i="6"/>
  <c r="AH13" i="6"/>
  <c r="AN13" i="6" s="1"/>
  <c r="AN73" i="6"/>
  <c r="AN33" i="6"/>
  <c r="AN62" i="6"/>
  <c r="AN28" i="6"/>
  <c r="AN17" i="6"/>
  <c r="AN23" i="6"/>
  <c r="AN47" i="6"/>
  <c r="AN38" i="6"/>
  <c r="AN27" i="6"/>
  <c r="AN48" i="6"/>
  <c r="AN12" i="6"/>
  <c r="AN32" i="6"/>
  <c r="AN43" i="6"/>
  <c r="D36" i="6" l="1" a="1"/>
  <c r="D36" i="6" s="1"/>
  <c r="E36" i="6" s="1" a="1"/>
  <c r="E36" i="6" s="1"/>
  <c r="F36" i="6" s="1" a="1"/>
  <c r="F36" i="6" s="1"/>
  <c r="G36" i="6" s="1" a="1"/>
  <c r="G36" i="6" s="1"/>
  <c r="H36" i="6" s="1" a="1"/>
  <c r="H36" i="6" s="1"/>
  <c r="I36" i="6" s="1" a="1"/>
  <c r="I36" i="6" s="1"/>
  <c r="J36" i="6" s="1" a="1"/>
  <c r="J36" i="6" s="1"/>
  <c r="K36" i="6" s="1" a="1"/>
  <c r="K36" i="6" s="1"/>
  <c r="L36" i="6" s="1" a="1"/>
  <c r="L36" i="6" s="1"/>
  <c r="M36" i="6" s="1" a="1"/>
  <c r="M36" i="6" s="1"/>
  <c r="N36" i="6" s="1" a="1"/>
  <c r="N36" i="6" s="1"/>
  <c r="O36" i="6" s="1" a="1"/>
  <c r="O36" i="6" s="1"/>
  <c r="P36" i="6" s="1" a="1"/>
  <c r="P36" i="6" s="1"/>
  <c r="Q36" i="6" s="1" a="1"/>
  <c r="Q36" i="6" s="1"/>
  <c r="R36" i="6" s="1" a="1"/>
  <c r="R36" i="6" s="1"/>
  <c r="S36" i="6" s="1" a="1"/>
  <c r="S36" i="6" s="1"/>
  <c r="T36" i="6" s="1" a="1"/>
  <c r="T36" i="6" s="1"/>
  <c r="U36" i="6" s="1" a="1"/>
  <c r="U36" i="6" s="1"/>
  <c r="V36" i="6" s="1" a="1"/>
  <c r="V36" i="6" s="1"/>
  <c r="W36" i="6" s="1" a="1"/>
  <c r="W36" i="6" s="1"/>
  <c r="X36" i="6" s="1" a="1"/>
  <c r="X36" i="6" s="1"/>
  <c r="Y36" i="6" s="1" a="1"/>
  <c r="Y36" i="6" s="1"/>
  <c r="Z36" i="6" s="1" a="1"/>
  <c r="Z36" i="6" s="1"/>
  <c r="AA36" i="6" s="1" a="1"/>
  <c r="AA36" i="6" s="1"/>
  <c r="AB36" i="6" s="1" a="1"/>
  <c r="AB36" i="6" s="1"/>
  <c r="AC36" i="6" s="1" a="1"/>
  <c r="AC36" i="6" s="1"/>
  <c r="AD36" i="6" s="1" a="1"/>
  <c r="AD36" i="6" s="1"/>
  <c r="AE36" i="6" s="1" a="1"/>
  <c r="AE36" i="6" s="1"/>
  <c r="D41" i="6" s="1" a="1"/>
  <c r="D41" i="6" s="1"/>
  <c r="E41" i="6" s="1" a="1"/>
  <c r="E41" i="6" s="1"/>
  <c r="F41" i="6" s="1" a="1"/>
  <c r="F41" i="6" s="1"/>
  <c r="G41" i="6" s="1" a="1"/>
  <c r="G41" i="6" s="1"/>
  <c r="H41" i="6" s="1" a="1"/>
  <c r="H41" i="6" s="1"/>
  <c r="I41" i="6" s="1" a="1"/>
  <c r="I41" i="6" s="1"/>
  <c r="J41" i="6" s="1" a="1"/>
  <c r="J41" i="6" s="1"/>
  <c r="K41" i="6" s="1" a="1"/>
  <c r="K41" i="6" s="1"/>
  <c r="L41" i="6" s="1" a="1"/>
  <c r="L41" i="6" s="1"/>
  <c r="M41" i="6" s="1" a="1"/>
  <c r="M41" i="6" s="1"/>
  <c r="N41" i="6" s="1" a="1"/>
  <c r="N41" i="6" s="1"/>
  <c r="O41" i="6" s="1" a="1"/>
  <c r="O41" i="6" s="1"/>
  <c r="P41" i="6" s="1" a="1"/>
  <c r="P41" i="6" s="1"/>
  <c r="Q41" i="6" s="1" a="1"/>
  <c r="Q41" i="6" s="1"/>
  <c r="R41" i="6" s="1" a="1"/>
  <c r="R41" i="6" s="1"/>
  <c r="S41" i="6" s="1" a="1"/>
  <c r="S41" i="6" s="1"/>
  <c r="T41" i="6" s="1" a="1"/>
  <c r="T41" i="6" s="1"/>
  <c r="U41" i="6" s="1" a="1"/>
  <c r="U41" i="6" s="1"/>
  <c r="V41" i="6" s="1" a="1"/>
  <c r="V41" i="6" s="1"/>
  <c r="W41" i="6" s="1" a="1"/>
  <c r="W41" i="6" s="1"/>
  <c r="X41" i="6" s="1" a="1"/>
  <c r="X41" i="6" s="1"/>
  <c r="Y41" i="6" s="1" a="1"/>
  <c r="Y41" i="6" s="1"/>
  <c r="Z41" i="6" s="1" a="1"/>
  <c r="Z41" i="6" s="1"/>
  <c r="AA41" i="6" s="1" a="1"/>
  <c r="AA41" i="6" s="1"/>
  <c r="AB41" i="6" s="1" a="1"/>
  <c r="AB41" i="6" s="1"/>
  <c r="AC41" i="6" s="1" a="1"/>
  <c r="AC41" i="6" s="1"/>
  <c r="AD41" i="6" s="1" a="1"/>
  <c r="AD41" i="6" s="1"/>
  <c r="AE41" i="6" s="1" a="1"/>
  <c r="AE41" i="6" s="1"/>
  <c r="D46" i="6" s="1" a="1"/>
  <c r="D46" i="6" s="1"/>
  <c r="E46" i="6" s="1" a="1"/>
  <c r="E46" i="6" s="1"/>
  <c r="F46" i="6" s="1" a="1"/>
  <c r="F46" i="6" s="1"/>
  <c r="G46" i="6" s="1" a="1"/>
  <c r="G46" i="6" s="1"/>
  <c r="H46" i="6" s="1" a="1"/>
  <c r="H46" i="6" s="1"/>
  <c r="I46" i="6" s="1" a="1"/>
  <c r="I46" i="6" s="1"/>
  <c r="J46" i="6" s="1" a="1"/>
  <c r="J46" i="6" s="1"/>
  <c r="K46" i="6" s="1" a="1"/>
  <c r="K46" i="6" s="1"/>
  <c r="L46" i="6" s="1" a="1"/>
  <c r="L46" i="6" s="1"/>
  <c r="M46" i="6" s="1" a="1"/>
  <c r="M46" i="6" s="1"/>
  <c r="N46" i="6" s="1" a="1"/>
  <c r="N46" i="6" s="1"/>
  <c r="O46" i="6" s="1" a="1"/>
  <c r="O46" i="6" s="1"/>
  <c r="P46" i="6" s="1" a="1"/>
  <c r="P46" i="6" s="1"/>
  <c r="Q46" i="6" s="1" a="1"/>
  <c r="Q46" i="6" s="1"/>
  <c r="R46" i="6" s="1" a="1"/>
  <c r="R46" i="6" s="1"/>
  <c r="S46" i="6" s="1" a="1"/>
  <c r="S46" i="6" s="1"/>
  <c r="T46" i="6" s="1" a="1"/>
  <c r="T46" i="6" s="1"/>
  <c r="U46" i="6" s="1" a="1"/>
  <c r="U46" i="6" s="1"/>
  <c r="V46" i="6" s="1" a="1"/>
  <c r="V46" i="6" s="1"/>
  <c r="W46" i="6" s="1" a="1"/>
  <c r="W46" i="6" s="1"/>
  <c r="X46" i="6" s="1" a="1"/>
  <c r="X46" i="6" s="1"/>
  <c r="Y46" i="6" s="1" a="1"/>
  <c r="Y46" i="6" s="1"/>
  <c r="Z46" i="6" s="1" a="1"/>
  <c r="Z46" i="6" s="1"/>
  <c r="AA46" i="6" s="1" a="1"/>
  <c r="AA46" i="6" s="1"/>
  <c r="AB46" i="6" s="1" a="1"/>
  <c r="AB46" i="6" s="1"/>
  <c r="AC46" i="6" s="1" a="1"/>
  <c r="AC46" i="6" s="1"/>
  <c r="AD46" i="6" s="1" a="1"/>
  <c r="AD46" i="6" s="1"/>
  <c r="AE46" i="6" s="1" a="1"/>
  <c r="AE46" i="6" s="1"/>
  <c r="D51" i="6" s="1" a="1"/>
  <c r="D51" i="6" s="1"/>
  <c r="E51" i="6" s="1" a="1"/>
  <c r="E51" i="6" s="1"/>
  <c r="F51" i="6" s="1" a="1"/>
  <c r="F51" i="6" s="1"/>
  <c r="G51" i="6" s="1" a="1"/>
  <c r="G51" i="6" s="1"/>
  <c r="H51" i="6" s="1" a="1"/>
  <c r="H51" i="6" s="1"/>
  <c r="I51" i="6" s="1" a="1"/>
  <c r="I51" i="6" s="1"/>
  <c r="J51" i="6" s="1" a="1"/>
  <c r="J51" i="6" s="1"/>
  <c r="K51" i="6" s="1" a="1"/>
  <c r="K51" i="6" s="1"/>
  <c r="L51" i="6" s="1" a="1"/>
  <c r="L51" i="6" s="1"/>
  <c r="M51" i="6" s="1" a="1"/>
  <c r="M51" i="6" s="1"/>
  <c r="N51" i="6" s="1" a="1"/>
  <c r="N51" i="6" s="1"/>
  <c r="O51" i="6" s="1" a="1"/>
  <c r="O51" i="6" s="1"/>
  <c r="P51" i="6" s="1" a="1"/>
  <c r="P51" i="6" s="1"/>
  <c r="Q51" i="6" s="1" a="1"/>
  <c r="Q51" i="6" s="1"/>
  <c r="R51" i="6" s="1" a="1"/>
  <c r="R51" i="6" s="1"/>
  <c r="S51" i="6" s="1" a="1"/>
  <c r="S51" i="6" s="1"/>
  <c r="T51" i="6" s="1" a="1"/>
  <c r="T51" i="6" s="1"/>
  <c r="U51" i="6" s="1" a="1"/>
  <c r="U51" i="6" s="1"/>
  <c r="V51" i="6" s="1" a="1"/>
  <c r="V51" i="6" s="1"/>
  <c r="W51" i="6" s="1" a="1"/>
  <c r="W51" i="6" s="1"/>
  <c r="X51" i="6" s="1" a="1"/>
  <c r="X51" i="6" s="1"/>
  <c r="Y51" i="6" s="1" a="1"/>
  <c r="Y51" i="6" s="1"/>
  <c r="Z51" i="6" s="1" a="1"/>
  <c r="Z51" i="6" s="1"/>
  <c r="AA51" i="6" s="1" a="1"/>
  <c r="AA51" i="6" s="1"/>
  <c r="AB51" i="6" s="1" a="1"/>
  <c r="AB51" i="6" s="1"/>
  <c r="AC51" i="6" s="1" a="1"/>
  <c r="AC51" i="6" s="1"/>
  <c r="AD51" i="6" s="1" a="1"/>
  <c r="AD51" i="6" s="1"/>
  <c r="AE51" i="6" s="1" a="1"/>
  <c r="AE51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<sst xmlns="http://schemas.openxmlformats.org/spreadsheetml/2006/main" count="456" uniqueCount="43">
  <si>
    <t>計画</t>
    <rPh sb="0" eb="2">
      <t>ケイカク</t>
    </rPh>
    <phoneticPr fontId="1"/>
  </si>
  <si>
    <t>実施</t>
    <rPh sb="0" eb="2">
      <t>ジッシ</t>
    </rPh>
    <phoneticPr fontId="1"/>
  </si>
  <si>
    <t>●</t>
  </si>
  <si>
    <t>×</t>
  </si>
  <si>
    <t>工事名</t>
    <rPh sb="0" eb="2">
      <t>コウジ</t>
    </rPh>
    <rPh sb="2" eb="3">
      <t>メイ</t>
    </rPh>
    <phoneticPr fontId="1"/>
  </si>
  <si>
    <t>期間内
現場閉所率</t>
    <rPh sb="0" eb="2">
      <t>キカン</t>
    </rPh>
    <rPh sb="2" eb="3">
      <t>ナイ</t>
    </rPh>
    <rPh sb="4" eb="6">
      <t>ゲンバ</t>
    </rPh>
    <rPh sb="6" eb="8">
      <t>ヘイショ</t>
    </rPh>
    <rPh sb="8" eb="9">
      <t>リツ</t>
    </rPh>
    <phoneticPr fontId="1"/>
  </si>
  <si>
    <t>工期</t>
    <rPh sb="0" eb="2">
      <t>コウキ</t>
    </rPh>
    <phoneticPr fontId="1"/>
  </si>
  <si>
    <t>契約日</t>
    <rPh sb="0" eb="3">
      <t>ケイヤクビ</t>
    </rPh>
    <phoneticPr fontId="1"/>
  </si>
  <si>
    <t>受注者</t>
    <rPh sb="0" eb="3">
      <t>ジュチュウシャ</t>
    </rPh>
    <phoneticPr fontId="1"/>
  </si>
  <si>
    <t>休日取得計画・実績書</t>
    <rPh sb="0" eb="2">
      <t>キュウジツ</t>
    </rPh>
    <rPh sb="2" eb="4">
      <t>シュトク</t>
    </rPh>
    <rPh sb="4" eb="6">
      <t>ケイカク</t>
    </rPh>
    <rPh sb="7" eb="9">
      <t>ジッセキ</t>
    </rPh>
    <rPh sb="9" eb="10">
      <t>ショ</t>
    </rPh>
    <phoneticPr fontId="1"/>
  </si>
  <si>
    <t>様式第１号（第５条関係）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</si>
  <si>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日</t>
    <rPh sb="0" eb="1">
      <t>ヒ</t>
    </rPh>
    <phoneticPr fontId="1"/>
  </si>
  <si>
    <t>うち現場閉所日数</t>
    <rPh sb="2" eb="4">
      <t>ゲンバ</t>
    </rPh>
    <rPh sb="4" eb="7">
      <t>ヘイショビ</t>
    </rPh>
    <rPh sb="7" eb="8">
      <t>スウ</t>
    </rPh>
    <phoneticPr fontId="1"/>
  </si>
  <si>
    <t>現場閉所日は●、対象外は×</t>
    <rPh sb="0" eb="5">
      <t>ゲンバヘイショビ</t>
    </rPh>
    <phoneticPr fontId="1"/>
  </si>
  <si>
    <t>うち対象日数</t>
    <rPh sb="2" eb="6">
      <t>タイショウニッスウ</t>
    </rPh>
    <phoneticPr fontId="1"/>
  </si>
  <si>
    <t>月</t>
    <rPh sb="0" eb="1">
      <t>ツキ</t>
    </rPh>
    <phoneticPr fontId="1"/>
  </si>
  <si>
    <t>曜日</t>
    <rPh sb="0" eb="2">
      <t>ヨウビ</t>
    </rPh>
    <phoneticPr fontId="1"/>
  </si>
  <si>
    <t>工事番号</t>
    <phoneticPr fontId="1"/>
  </si>
  <si>
    <t>工事年度</t>
    <rPh sb="0" eb="2">
      <t>コウジ</t>
    </rPh>
    <rPh sb="2" eb="4">
      <t>ネンド</t>
    </rPh>
    <phoneticPr fontId="1"/>
  </si>
  <si>
    <t>第1期</t>
    <rPh sb="0" eb="1">
      <t>ダイ</t>
    </rPh>
    <rPh sb="2" eb="3">
      <t>キ</t>
    </rPh>
    <phoneticPr fontId="1"/>
  </si>
  <si>
    <t>第2期</t>
    <rPh sb="0" eb="1">
      <t>ダイ</t>
    </rPh>
    <rPh sb="2" eb="3">
      <t>キ</t>
    </rPh>
    <phoneticPr fontId="1"/>
  </si>
  <si>
    <t>第3期</t>
    <rPh sb="0" eb="1">
      <t>ダイ</t>
    </rPh>
    <rPh sb="2" eb="3">
      <t>キ</t>
    </rPh>
    <phoneticPr fontId="1"/>
  </si>
  <si>
    <t>第4期</t>
    <rPh sb="0" eb="1">
      <t>ダイ</t>
    </rPh>
    <rPh sb="2" eb="3">
      <t>キ</t>
    </rPh>
    <phoneticPr fontId="1"/>
  </si>
  <si>
    <t>第5期</t>
    <rPh sb="0" eb="1">
      <t>ダイ</t>
    </rPh>
    <rPh sb="2" eb="3">
      <t>キ</t>
    </rPh>
    <phoneticPr fontId="1"/>
  </si>
  <si>
    <t>第6期</t>
    <rPh sb="0" eb="1">
      <t>ダイ</t>
    </rPh>
    <rPh sb="2" eb="3">
      <t>キ</t>
    </rPh>
    <phoneticPr fontId="1"/>
  </si>
  <si>
    <t>第7期</t>
    <rPh sb="0" eb="1">
      <t>ダイ</t>
    </rPh>
    <rPh sb="2" eb="3">
      <t>キ</t>
    </rPh>
    <phoneticPr fontId="1"/>
  </si>
  <si>
    <t>第8期</t>
    <rPh sb="0" eb="1">
      <t>ダイ</t>
    </rPh>
    <rPh sb="2" eb="3">
      <t>キ</t>
    </rPh>
    <phoneticPr fontId="1"/>
  </si>
  <si>
    <t>第9期</t>
    <rPh sb="0" eb="1">
      <t>ダイ</t>
    </rPh>
    <rPh sb="2" eb="3">
      <t>キ</t>
    </rPh>
    <phoneticPr fontId="1"/>
  </si>
  <si>
    <t>第10期</t>
    <rPh sb="0" eb="1">
      <t>ダイ</t>
    </rPh>
    <rPh sb="3" eb="4">
      <t>キ</t>
    </rPh>
    <phoneticPr fontId="1"/>
  </si>
  <si>
    <t>第11期</t>
    <rPh sb="0" eb="1">
      <t>ダイ</t>
    </rPh>
    <rPh sb="3" eb="4">
      <t>キ</t>
    </rPh>
    <phoneticPr fontId="1"/>
  </si>
  <si>
    <t>第12期</t>
    <rPh sb="0" eb="1">
      <t>ダイ</t>
    </rPh>
    <rPh sb="3" eb="4">
      <t>キ</t>
    </rPh>
    <phoneticPr fontId="1"/>
  </si>
  <si>
    <t>第13期</t>
    <rPh sb="0" eb="1">
      <t>ダイ</t>
    </rPh>
    <rPh sb="3" eb="4">
      <t>キ</t>
    </rPh>
    <phoneticPr fontId="1"/>
  </si>
  <si>
    <t>第14期</t>
    <rPh sb="0" eb="1">
      <t>ダイ</t>
    </rPh>
    <rPh sb="3" eb="4">
      <t>キ</t>
    </rPh>
    <phoneticPr fontId="1"/>
  </si>
  <si>
    <t>令和〇〇年度</t>
    <rPh sb="0" eb="2">
      <t>レイワ</t>
    </rPh>
    <rPh sb="4" eb="6">
      <t>ネンド</t>
    </rPh>
    <phoneticPr fontId="1"/>
  </si>
  <si>
    <t>町道〇〇線道路改良工事</t>
    <rPh sb="0" eb="2">
      <t>チョウドウ</t>
    </rPh>
    <rPh sb="4" eb="5">
      <t>セン</t>
    </rPh>
    <rPh sb="5" eb="11">
      <t>ドウロカイリョウコウジ</t>
    </rPh>
    <phoneticPr fontId="1"/>
  </si>
  <si>
    <t>（株）〇〇〇〇</t>
    <rPh sb="0" eb="3">
      <t>カブ</t>
    </rPh>
    <phoneticPr fontId="1"/>
  </si>
  <si>
    <t>水</t>
    <rPh sb="0" eb="1">
      <t>スイ</t>
    </rPh>
    <phoneticPr fontId="1"/>
  </si>
  <si>
    <t>（</t>
    <phoneticPr fontId="1"/>
  </si>
  <si>
    <t>）</t>
    <phoneticPr fontId="1"/>
  </si>
  <si>
    <t>期間内工期日数</t>
    <phoneticPr fontId="1"/>
  </si>
  <si>
    <t>～</t>
    <phoneticPr fontId="1"/>
  </si>
  <si>
    <t>令和〇〇年〇〇月〇〇日</t>
    <rPh sb="0" eb="2">
      <t>レイワ</t>
    </rPh>
    <rPh sb="4" eb="5">
      <t>ネン</t>
    </rPh>
    <rPh sb="7" eb="8">
      <t>ツキ</t>
    </rPh>
    <rPh sb="10" eb="11">
      <t>ビ</t>
    </rPh>
    <phoneticPr fontId="1"/>
  </si>
  <si>
    <t>令和　　年　　月　　日</t>
    <rPh sb="0" eb="2">
      <t>レイワ</t>
    </rPh>
    <rPh sb="4" eb="5">
      <t>ネン</t>
    </rPh>
    <rPh sb="7" eb="8">
      <t>ツキ</t>
    </rPh>
    <rPh sb="10" eb="11">
      <t>ビ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</si>
</sst>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$]ggge&quot;年&quot;m&quot;月&quot;d&quot;日&quot;;@" x16r2:formatCode16="[$-ja-JP-x-gannen]ggge&quot;年&quot;m&quot;月&quot;d&quot;日&quot;;@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20"/>
      <color theme="1"/>
      <name val="游ゴシック"/>
      <family val="2"/>
      <charset val="128"/>
      <scheme val="minor"/>
    </font>
    <font>
      <sz val="25"/>
      <color theme="1"/>
      <name val="游ゴシック"/>
      <family val="2"/>
      <charset val="128"/>
      <scheme val="minor"/>
    </font>
    <font>
      <sz val="20"/>
      <color theme="1"/>
      <name val="游ゴシック"/>
      <family val="3"/>
      <charset val="128"/>
      <scheme val="minor"/>
    </font>
    <font>
      <b/>
      <sz val="25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9" fillId="0" borderId="7" xfId="0" applyFont="1" applyBorder="1" applyProtection="1">
      <alignment vertical="center"/>
      <protection hidden="1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6" xfId="0" applyFont="1" applyBorder="1" applyProtection="1">
      <alignment vertical="center"/>
      <protection hidden="1"/>
    </xf>
    <xf numFmtId="0" fontId="9" fillId="0" borderId="14" xfId="0" applyFont="1" applyBorder="1" applyAlignment="1" applyProtection="1">
      <alignment horizontal="center" vertical="center"/>
      <protection hidden="1"/>
    </xf>
    <xf numFmtId="0" fontId="8" fillId="0" borderId="15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9" fillId="0" borderId="14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horizontal="center" vertical="center"/>
      <protection hidden="1"/>
    </xf>
    <xf numFmtId="0" fontId="8" fillId="0" borderId="15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0" fontId="9" fillId="0" borderId="9" xfId="0" applyFont="1" applyBorder="1" applyProtection="1">
      <alignment vertical="center"/>
      <protection hidden="1"/>
    </xf>
    <xf numFmtId="0" fontId="9" fillId="0" borderId="6" xfId="0" applyFont="1" applyBorder="1" applyAlignment="1" applyProtection="1">
      <alignment horizontal="center" vertical="center"/>
      <protection hidden="1"/>
    </xf>
    <xf numFmtId="176" fontId="2" fillId="0" borderId="0" xfId="0" applyNumberFormat="1" applyFont="1" applyProtection="1">
      <alignment vertical="center"/>
      <protection hidden="1"/>
    </xf>
    <xf numFmtId="0" fontId="2" fillId="0" borderId="0" xfId="0" applyNumberFormat="1" applyFont="1" applyAlignment="1" applyProtection="1">
      <alignment vertical="center"/>
      <protection hidden="1"/>
    </xf>
    <xf numFmtId="0" fontId="9" fillId="0" borderId="23" xfId="0" applyFont="1" applyBorder="1" applyAlignment="1" applyProtection="1">
      <alignment horizontal="center" vertical="center"/>
      <protection hidden="1"/>
    </xf>
    <xf numFmtId="0" fontId="9" fillId="0" borderId="21" xfId="0" applyFont="1" applyBorder="1" applyAlignment="1" applyProtection="1">
      <alignment horizontal="center" vertical="center"/>
      <protection hidden="1"/>
    </xf>
    <xf numFmtId="0" fontId="9" fillId="0" borderId="22" xfId="0" applyFont="1" applyBorder="1" applyAlignment="1" applyProtection="1">
      <alignment horizontal="center" vertical="center"/>
      <protection hidden="1"/>
    </xf>
    <xf numFmtId="10" fontId="9" fillId="0" borderId="3" xfId="0" applyNumberFormat="1" applyFont="1" applyBorder="1" applyAlignment="1" applyProtection="1">
      <alignment horizontal="center" vertical="center"/>
      <protection hidden="1"/>
    </xf>
    <xf numFmtId="0" fontId="9" fillId="0" borderId="24" xfId="0" applyFont="1" applyBorder="1" applyAlignment="1" applyProtection="1">
      <alignment horizontal="center" vertical="center"/>
      <protection hidden="1"/>
    </xf>
    <xf numFmtId="0" fontId="9" fillId="0" borderId="25" xfId="0" applyFont="1" applyBorder="1" applyAlignment="1" applyProtection="1">
      <alignment horizontal="center" vertical="center"/>
      <protection hidden="1"/>
    </xf>
    <xf numFmtId="0" fontId="9" fillId="0" borderId="26" xfId="0" applyFont="1" applyBorder="1" applyAlignment="1" applyProtection="1">
      <alignment horizontal="center" vertical="center"/>
      <protection hidden="1"/>
    </xf>
    <xf numFmtId="10" fontId="9" fillId="0" borderId="14" xfId="0" applyNumberFormat="1" applyFont="1" applyBorder="1" applyAlignment="1" applyProtection="1">
      <alignment horizontal="center" vertical="center"/>
      <protection hidden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10" xfId="0" applyFont="1" applyBorder="1" applyAlignment="1" applyProtection="1">
      <alignment horizontal="center" vertical="center"/>
      <protection hidden="1"/>
    </xf>
    <xf numFmtId="0" fontId="9" fillId="0" borderId="14" xfId="0" applyFont="1" applyBorder="1" applyAlignment="1" applyProtection="1">
      <alignment horizontal="center" vertical="center"/>
      <protection hidden="1"/>
    </xf>
    <xf numFmtId="0" fontId="9" fillId="0" borderId="1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20" xfId="0" applyFont="1" applyBorder="1" applyAlignment="1" applyProtection="1">
      <alignment horizontal="left" vertical="center"/>
      <protection hidden="1"/>
    </xf>
    <xf numFmtId="0" fontId="9" fillId="0" borderId="17" xfId="0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 vertical="center" wrapText="1"/>
      <protection hidden="1"/>
    </xf>
    <xf numFmtId="0" fontId="9" fillId="0" borderId="4" xfId="0" applyFont="1" applyBorder="1" applyAlignment="1" applyProtection="1">
      <alignment vertical="center"/>
      <protection hidden="1"/>
    </xf>
    <xf numFmtId="0" fontId="9" fillId="0" borderId="11" xfId="0" applyFont="1" applyBorder="1" applyAlignment="1" applyProtection="1">
      <alignment vertical="center"/>
      <protection hidden="1"/>
    </xf>
    <xf numFmtId="0" fontId="9" fillId="0" borderId="5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vertical="center"/>
      <protection hidden="1"/>
    </xf>
    <xf numFmtId="0" fontId="9" fillId="0" borderId="15" xfId="0" applyFont="1" applyBorder="1" applyAlignment="1" applyProtection="1">
      <alignment vertical="center"/>
      <protection hidden="1"/>
    </xf>
    <xf numFmtId="0" fontId="9" fillId="0" borderId="13" xfId="0" applyFont="1" applyBorder="1" applyAlignment="1" applyProtection="1">
      <alignment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 vertical="center"/>
      <protection hidden="1"/>
    </xf>
    <xf numFmtId="0" fontId="9" fillId="0" borderId="4" xfId="0" applyFont="1" applyBorder="1" applyAlignment="1" applyProtection="1">
      <alignment horizontal="left" vertical="center"/>
      <protection hidden="1"/>
    </xf>
    <xf numFmtId="0" fontId="9" fillId="0" borderId="11" xfId="0" applyFont="1" applyBorder="1" applyAlignment="1" applyProtection="1">
      <alignment horizontal="left" vertical="center"/>
      <protection hidden="1"/>
    </xf>
    <xf numFmtId="0" fontId="9" fillId="0" borderId="5" xfId="0" applyFont="1" applyBorder="1" applyAlignment="1" applyProtection="1">
      <alignment horizontal="left" vertical="center"/>
      <protection hidden="1"/>
    </xf>
    <xf numFmtId="0" fontId="9" fillId="0" borderId="2" xfId="0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left" vertical="center"/>
      <protection hidden="1"/>
    </xf>
    <xf numFmtId="0" fontId="9" fillId="0" borderId="9" xfId="0" applyFont="1" applyBorder="1" applyAlignment="1" applyProtection="1">
      <alignment horizontal="left" vertical="center"/>
      <protection hidden="1"/>
    </xf>
    <xf numFmtId="0" fontId="9" fillId="0" borderId="11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14" fontId="8" fillId="0" borderId="12" xfId="0" applyNumberFormat="1" applyFont="1" applyBorder="1" applyAlignment="1" applyProtection="1">
      <alignment horizontal="center" vertical="center"/>
      <protection hidden="1"/>
    </xf>
    <xf numFmtId="0" fontId="8" fillId="0" borderId="15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177" fontId="8" fillId="0" borderId="12" xfId="0" applyNumberFormat="1" applyFont="1" applyBorder="1" applyAlignment="1" applyProtection="1">
      <alignment horizontal="center" vertical="center" shrinkToFit="1"/>
      <protection hidden="1"/>
    </xf>
    <xf numFmtId="177" fontId="8" fillId="0" borderId="15" xfId="0" applyNumberFormat="1" applyFont="1" applyBorder="1" applyAlignment="1" applyProtection="1">
      <alignment horizontal="center" vertical="center" shrinkToFit="1"/>
      <protection hidden="1"/>
    </xf>
    <xf numFmtId="176" fontId="8" fillId="0" borderId="15" xfId="0" applyNumberFormat="1" applyFont="1" applyBorder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center" vertical="center"/>
      <protection hidden="1"/>
    </xf>
    <xf numFmtId="58" fontId="8" fillId="0" borderId="12" xfId="0" applyNumberFormat="1" applyFont="1" applyBorder="1" applyAlignment="1" applyProtection="1">
      <alignment horizontal="center" vertical="center"/>
      <protection hidden="1"/>
    </xf>
    <xf numFmtId="58" fontId="8" fillId="0" borderId="15" xfId="0" applyNumberFormat="1" applyFont="1" applyBorder="1" applyAlignment="1" applyProtection="1">
      <alignment horizontal="center" vertical="center"/>
      <protection hidden="1"/>
    </xf>
    <xf numFmtId="58" fontId="8" fillId="0" borderId="13" xfId="0" applyNumberFormat="1" applyFont="1" applyBorder="1" applyAlignment="1" applyProtection="1">
      <alignment horizontal="center" vertical="center"/>
      <protection hidden="1"/>
    </xf>
    <xf numFmtId="0" fontId="8" fillId="0" borderId="12" xfId="0" applyFont="1" applyBorder="1" applyAlignment="1" applyProtection="1">
      <alignment horizontal="center" vertical="center"/>
      <protection locked="0" hidden="1"/>
    </xf>
    <xf numFmtId="0" fontId="8" fillId="0" borderId="15" xfId="0" applyFont="1" applyBorder="1" applyAlignment="1" applyProtection="1">
      <alignment horizontal="center" vertical="center"/>
      <protection locked="0" hidden="1"/>
    </xf>
    <xf numFmtId="0" fontId="8" fillId="0" borderId="13" xfId="0" applyFont="1" applyBorder="1" applyAlignment="1" applyProtection="1">
      <alignment horizontal="center" vertical="center"/>
      <protection locked="0" hidden="1"/>
    </xf>
    <xf numFmtId="14" fontId="8" fillId="0" borderId="12" xfId="0" applyNumberFormat="1" applyFont="1" applyBorder="1" applyAlignment="1" applyProtection="1">
      <alignment horizontal="center" vertical="center"/>
      <protection locked="0" hidden="1"/>
    </xf>
    <xf numFmtId="58" fontId="8" fillId="0" borderId="12" xfId="0" applyNumberFormat="1" applyFont="1" applyBorder="1" applyAlignment="1" applyProtection="1">
      <alignment horizontal="center" vertical="center"/>
      <protection locked="0" hidden="1"/>
    </xf>
    <xf numFmtId="58" fontId="8" fillId="0" borderId="15" xfId="0" applyNumberFormat="1" applyFont="1" applyBorder="1" applyAlignment="1" applyProtection="1">
      <alignment horizontal="center" vertical="center"/>
      <protection locked="0" hidden="1"/>
    </xf>
    <xf numFmtId="58" fontId="8" fillId="0" borderId="13" xfId="0" applyNumberFormat="1" applyFont="1" applyBorder="1" applyAlignment="1" applyProtection="1">
      <alignment horizontal="center" vertical="center"/>
      <protection locked="0" hidden="1"/>
    </xf>
    <xf numFmtId="177" fontId="8" fillId="0" borderId="12" xfId="0" applyNumberFormat="1" applyFont="1" applyBorder="1" applyAlignment="1" applyProtection="1">
      <alignment horizontal="center" vertical="center" shrinkToFit="1"/>
      <protection locked="0" hidden="1"/>
    </xf>
    <xf numFmtId="177" fontId="8" fillId="0" borderId="15" xfId="0" applyNumberFormat="1" applyFont="1" applyBorder="1" applyAlignment="1" applyProtection="1">
      <alignment horizontal="center" vertical="center" shrinkToFit="1"/>
      <protection locked="0" hidden="1"/>
    </xf>
    <xf numFmtId="0" fontId="8" fillId="0" borderId="15" xfId="0" applyFont="1" applyBorder="1" applyAlignment="1" applyProtection="1">
      <alignment horizontal="center" vertical="center"/>
      <protection locked="0" hidden="1"/>
    </xf>
    <xf numFmtId="176" fontId="8" fillId="0" borderId="15" xfId="0" applyNumberFormat="1" applyFont="1" applyBorder="1" applyAlignment="1" applyProtection="1">
      <alignment horizontal="center" vertical="center" shrinkToFit="1"/>
      <protection locked="0" hidden="1"/>
    </xf>
  </cellXfs>
  <cellStyles count="1">
    <cellStyle name="標準" xfId="0" builtinId="0"/>
  </cellStyles>
  <dxfs count="82"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108857</xdr:colOff>
      <xdr:row>3</xdr:row>
      <xdr:rowOff>13608</xdr:rowOff>
    </xdr:from>
    <xdr:to>
      <xdr:col>41</xdr:col>
      <xdr:colOff>81642</xdr:colOff>
      <xdr:row>7</xdr:row>
      <xdr:rowOff>68036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5B4BBE4-7AAF-4494-BAE8-210EB953EA25}"/>
            </a:ext>
          </a:extLst>
        </xdr:cNvPr>
        <xdr:cNvSpPr/>
      </xdr:nvSpPr>
      <xdr:spPr>
        <a:xfrm>
          <a:off x="108857" y="1279072"/>
          <a:ext cx="17335499" cy="1741714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190500</xdr:colOff>
      <xdr:row>0</xdr:row>
      <xdr:rowOff>149680</xdr:rowOff>
    </xdr:from>
    <xdr:to>
      <xdr:col>41</xdr:col>
      <xdr:colOff>27215</xdr:colOff>
      <xdr:row>2</xdr:row>
      <xdr:rowOff>122464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6EB5B0D-67AB-4725-B682-4139FAC8975C}"/>
            </a:ext>
          </a:extLst>
        </xdr:cNvPr>
        <xdr:cNvSpPr/>
      </xdr:nvSpPr>
      <xdr:spPr>
        <a:xfrm>
          <a:off x="13716000" y="149680"/>
          <a:ext cx="3673929" cy="721177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571501</xdr:colOff>
      <xdr:row>10</xdr:row>
      <xdr:rowOff>272143</xdr:rowOff>
    </xdr:from>
    <xdr:to>
      <xdr:col>31</xdr:col>
      <xdr:colOff>13608</xdr:colOff>
      <xdr:row>13</xdr:row>
      <xdr:rowOff>27215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E8F31AB0-6B96-4AA4-B6AB-28C251762031}"/>
            </a:ext>
          </a:extLst>
        </xdr:cNvPr>
        <xdr:cNvSpPr/>
      </xdr:nvSpPr>
      <xdr:spPr>
        <a:xfrm>
          <a:off x="1673680" y="4068536"/>
          <a:ext cx="11457214" cy="66675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557893</xdr:colOff>
      <xdr:row>15</xdr:row>
      <xdr:rowOff>258535</xdr:rowOff>
    </xdr:from>
    <xdr:to>
      <xdr:col>31</xdr:col>
      <xdr:colOff>0</xdr:colOff>
      <xdr:row>18</xdr:row>
      <xdr:rowOff>13607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A0FD1565-A619-4E01-9978-EB09B6CDF2C0}"/>
            </a:ext>
          </a:extLst>
        </xdr:cNvPr>
        <xdr:cNvSpPr/>
      </xdr:nvSpPr>
      <xdr:spPr>
        <a:xfrm>
          <a:off x="1660072" y="5565321"/>
          <a:ext cx="11457214" cy="66675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571500</xdr:colOff>
      <xdr:row>20</xdr:row>
      <xdr:rowOff>272143</xdr:rowOff>
    </xdr:from>
    <xdr:to>
      <xdr:col>31</xdr:col>
      <xdr:colOff>13607</xdr:colOff>
      <xdr:row>23</xdr:row>
      <xdr:rowOff>27215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BA04473-E795-4314-86DF-2303B6AD5D9E}"/>
            </a:ext>
          </a:extLst>
        </xdr:cNvPr>
        <xdr:cNvSpPr/>
      </xdr:nvSpPr>
      <xdr:spPr>
        <a:xfrm>
          <a:off x="1673679" y="7089322"/>
          <a:ext cx="11457214" cy="66675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557893</xdr:colOff>
      <xdr:row>25</xdr:row>
      <xdr:rowOff>272144</xdr:rowOff>
    </xdr:from>
    <xdr:to>
      <xdr:col>31</xdr:col>
      <xdr:colOff>0</xdr:colOff>
      <xdr:row>28</xdr:row>
      <xdr:rowOff>27215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6C09A461-E096-46CC-932A-4F06E797AA29}"/>
            </a:ext>
          </a:extLst>
        </xdr:cNvPr>
        <xdr:cNvSpPr/>
      </xdr:nvSpPr>
      <xdr:spPr>
        <a:xfrm>
          <a:off x="1660072" y="8599715"/>
          <a:ext cx="11457214" cy="66675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\\\\\\</a:t>
          </a:r>
          <a:endParaRPr kumimoji="1" lang="ja-JP" altLang="en-US" sz="1100"/>
        </a:p>
      </xdr:txBody>
    </xdr:sp>
    <xdr:clientData/>
  </xdr:twoCellAnchor>
  <xdr:twoCellAnchor>
    <xdr:from>
      <xdr:col>2</xdr:col>
      <xdr:colOff>557893</xdr:colOff>
      <xdr:row>30</xdr:row>
      <xdr:rowOff>272143</xdr:rowOff>
    </xdr:from>
    <xdr:to>
      <xdr:col>31</xdr:col>
      <xdr:colOff>0</xdr:colOff>
      <xdr:row>33</xdr:row>
      <xdr:rowOff>27214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88D55CA3-8FD9-4087-864B-903298107FAC}"/>
            </a:ext>
          </a:extLst>
        </xdr:cNvPr>
        <xdr:cNvSpPr/>
      </xdr:nvSpPr>
      <xdr:spPr>
        <a:xfrm>
          <a:off x="1660072" y="10110107"/>
          <a:ext cx="11457214" cy="66675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557893</xdr:colOff>
      <xdr:row>35</xdr:row>
      <xdr:rowOff>272143</xdr:rowOff>
    </xdr:from>
    <xdr:to>
      <xdr:col>31</xdr:col>
      <xdr:colOff>0</xdr:colOff>
      <xdr:row>38</xdr:row>
      <xdr:rowOff>27214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D1CDA27-8371-4CBD-ACA1-C52BB67438F9}"/>
            </a:ext>
          </a:extLst>
        </xdr:cNvPr>
        <xdr:cNvSpPr/>
      </xdr:nvSpPr>
      <xdr:spPr>
        <a:xfrm>
          <a:off x="1660072" y="11620500"/>
          <a:ext cx="11457214" cy="66675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0</xdr:colOff>
      <xdr:row>41</xdr:row>
      <xdr:rowOff>0</xdr:rowOff>
    </xdr:from>
    <xdr:to>
      <xdr:col>31</xdr:col>
      <xdr:colOff>27214</xdr:colOff>
      <xdr:row>43</xdr:row>
      <xdr:rowOff>54428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D1386456-0EC7-4F79-95E4-3EECE89C7396}"/>
            </a:ext>
          </a:extLst>
        </xdr:cNvPr>
        <xdr:cNvSpPr/>
      </xdr:nvSpPr>
      <xdr:spPr>
        <a:xfrm>
          <a:off x="1687286" y="13158107"/>
          <a:ext cx="11457214" cy="66675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557893</xdr:colOff>
      <xdr:row>45</xdr:row>
      <xdr:rowOff>272143</xdr:rowOff>
    </xdr:from>
    <xdr:to>
      <xdr:col>31</xdr:col>
      <xdr:colOff>0</xdr:colOff>
      <xdr:row>48</xdr:row>
      <xdr:rowOff>27215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D51EC526-476F-4BCD-A5E5-E388D0ECBD28}"/>
            </a:ext>
          </a:extLst>
        </xdr:cNvPr>
        <xdr:cNvSpPr/>
      </xdr:nvSpPr>
      <xdr:spPr>
        <a:xfrm>
          <a:off x="1660072" y="14641286"/>
          <a:ext cx="11457214" cy="66675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557893</xdr:colOff>
      <xdr:row>50</xdr:row>
      <xdr:rowOff>272143</xdr:rowOff>
    </xdr:from>
    <xdr:to>
      <xdr:col>13</xdr:col>
      <xdr:colOff>0</xdr:colOff>
      <xdr:row>53</xdr:row>
      <xdr:rowOff>27215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2A323E53-330D-459F-AEE9-93E6485823D2}"/>
            </a:ext>
          </a:extLst>
        </xdr:cNvPr>
        <xdr:cNvSpPr/>
      </xdr:nvSpPr>
      <xdr:spPr>
        <a:xfrm>
          <a:off x="1660072" y="16151679"/>
          <a:ext cx="4109357" cy="66675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340179</xdr:colOff>
      <xdr:row>9</xdr:row>
      <xdr:rowOff>95250</xdr:rowOff>
    </xdr:from>
    <xdr:to>
      <xdr:col>45</xdr:col>
      <xdr:colOff>40822</xdr:colOff>
      <xdr:row>24</xdr:row>
      <xdr:rowOff>27215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2C2F4979-64B2-4F8F-BF8D-2B5D52922F1D}"/>
            </a:ext>
          </a:extLst>
        </xdr:cNvPr>
        <xdr:cNvSpPr/>
      </xdr:nvSpPr>
      <xdr:spPr>
        <a:xfrm>
          <a:off x="13457465" y="3592286"/>
          <a:ext cx="4884964" cy="4463143"/>
        </a:xfrm>
        <a:prstGeom prst="rect">
          <a:avLst/>
        </a:prstGeom>
        <a:solidFill>
          <a:srgbClr val="FFE1E1"/>
        </a:solidFill>
        <a:ln w="254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800">
              <a:solidFill>
                <a:sysClr val="windowText" lastClr="000000"/>
              </a:solidFill>
            </a:rPr>
            <a:t>赤枠内を入力してください。</a:t>
          </a:r>
          <a:endParaRPr kumimoji="1" lang="en-US" altLang="ja-JP" sz="2800">
            <a:solidFill>
              <a:sysClr val="windowText" lastClr="000000"/>
            </a:solidFill>
          </a:endParaRPr>
        </a:p>
        <a:p>
          <a:pPr algn="ctr"/>
          <a:endParaRPr kumimoji="1" lang="en-US" altLang="ja-JP" sz="28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2800">
              <a:solidFill>
                <a:sysClr val="windowText" lastClr="000000"/>
              </a:solidFill>
            </a:rPr>
            <a:t>計画・実施欄は、プルダウンより選択してください。</a:t>
          </a:r>
          <a:endParaRPr kumimoji="1" lang="en-US" altLang="ja-JP" sz="2800">
            <a:solidFill>
              <a:sysClr val="windowText" lastClr="000000"/>
            </a:solidFill>
          </a:endParaRPr>
        </a:p>
        <a:p>
          <a:pPr algn="ctr"/>
          <a:endParaRPr kumimoji="1" lang="en-US" altLang="ja-JP" sz="28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2800">
              <a:solidFill>
                <a:sysClr val="windowText" lastClr="000000"/>
              </a:solidFill>
            </a:rPr>
            <a:t>月・日・曜日欄等は自動入力となります。</a:t>
          </a:r>
        </a:p>
      </xdr:txBody>
    </xdr:sp>
    <xdr:clientData/>
  </xdr:twoCellAnchor>
  <xdr:twoCellAnchor>
    <xdr:from>
      <xdr:col>38</xdr:col>
      <xdr:colOff>367393</xdr:colOff>
      <xdr:row>45</xdr:row>
      <xdr:rowOff>272142</xdr:rowOff>
    </xdr:from>
    <xdr:to>
      <xdr:col>41</xdr:col>
      <xdr:colOff>54429</xdr:colOff>
      <xdr:row>48</xdr:row>
      <xdr:rowOff>40821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9554D1CB-BA9C-4C23-AE23-F1C33A1FE00D}"/>
            </a:ext>
          </a:extLst>
        </xdr:cNvPr>
        <xdr:cNvSpPr/>
      </xdr:nvSpPr>
      <xdr:spPr>
        <a:xfrm>
          <a:off x="16342179" y="14641285"/>
          <a:ext cx="1074964" cy="680357"/>
        </a:xfrm>
        <a:prstGeom prst="rect">
          <a:avLst/>
        </a:prstGeom>
        <a:noFill/>
        <a:ln w="635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38</xdr:col>
      <xdr:colOff>367393</xdr:colOff>
      <xdr:row>50</xdr:row>
      <xdr:rowOff>258535</xdr:rowOff>
    </xdr:from>
    <xdr:to>
      <xdr:col>41</xdr:col>
      <xdr:colOff>54429</xdr:colOff>
      <xdr:row>53</xdr:row>
      <xdr:rowOff>13607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F45A4DD6-CFC0-4EAC-9B92-4D131D69A550}"/>
            </a:ext>
          </a:extLst>
        </xdr:cNvPr>
        <xdr:cNvSpPr/>
      </xdr:nvSpPr>
      <xdr:spPr>
        <a:xfrm>
          <a:off x="16342179" y="16138071"/>
          <a:ext cx="1074964" cy="666750"/>
        </a:xfrm>
        <a:prstGeom prst="rect">
          <a:avLst/>
        </a:prstGeom>
        <a:noFill/>
        <a:ln w="635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190500</xdr:colOff>
      <xdr:row>53</xdr:row>
      <xdr:rowOff>136070</xdr:rowOff>
    </xdr:from>
    <xdr:to>
      <xdr:col>40</xdr:col>
      <xdr:colOff>462643</xdr:colOff>
      <xdr:row>63</xdr:row>
      <xdr:rowOff>231321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3B0B1E32-B90A-4796-9ECA-703CF083D0F1}"/>
            </a:ext>
          </a:extLst>
        </xdr:cNvPr>
        <xdr:cNvSpPr/>
      </xdr:nvSpPr>
      <xdr:spPr>
        <a:xfrm>
          <a:off x="10858500" y="16927284"/>
          <a:ext cx="6477000" cy="311603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800">
              <a:solidFill>
                <a:sysClr val="windowText" lastClr="000000"/>
              </a:solidFill>
            </a:rPr>
            <a:t>期間内現場閉所率が２８．５％未満となっていますが、期間内の公休日（今回の場合は土日）の日数以上の現場閉所を行っているため、月単位の週休２日を満たしています。</a:t>
          </a:r>
        </a:p>
      </xdr:txBody>
    </xdr:sp>
    <xdr:clientData/>
  </xdr:twoCellAnchor>
  <xdr:twoCellAnchor>
    <xdr:from>
      <xdr:col>8</xdr:col>
      <xdr:colOff>122464</xdr:colOff>
      <xdr:row>64</xdr:row>
      <xdr:rowOff>272143</xdr:rowOff>
    </xdr:from>
    <xdr:to>
      <xdr:col>23</xdr:col>
      <xdr:colOff>108857</xdr:colOff>
      <xdr:row>74</xdr:row>
      <xdr:rowOff>122464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462DE645-908E-40AE-981C-387842BA63D0}"/>
            </a:ext>
          </a:extLst>
        </xdr:cNvPr>
        <xdr:cNvSpPr/>
      </xdr:nvSpPr>
      <xdr:spPr>
        <a:xfrm>
          <a:off x="3850821" y="20383500"/>
          <a:ext cx="6109607" cy="2871107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800">
              <a:solidFill>
                <a:sysClr val="windowText" lastClr="000000"/>
              </a:solidFill>
            </a:rPr>
            <a:t>工期が３９３日以上となる場合は、３９３日目を工期の始期として２枚目の休日取得計画・実績書を作成してください。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B5C40-86D0-48B4-B192-B0012CB43793}">
  <sheetPr>
    <pageSetUpPr fitToPage="1"/>
  </sheetPr>
  <dimension ref="B2:BQ79"/>
  <sheetViews>
    <sheetView tabSelected="1" view="pageBreakPreview" zoomScale="70" zoomScaleNormal="55" zoomScaleSheetLayoutView="70" workbookViewId="0">
      <selection activeCell="D5" sqref="D5:W5"/>
    </sheetView>
  </sheetViews>
  <sheetFormatPr defaultRowHeight="19.5" x14ac:dyDescent="0.4"/>
  <cols>
    <col min="1" max="1" width="2.625" style="3" customWidth="1"/>
    <col min="2" max="2" width="11.75" style="3" customWidth="1"/>
    <col min="3" max="3" width="7.75" style="4" customWidth="1"/>
    <col min="4" max="39" width="5.375" style="3" customWidth="1"/>
    <col min="40" max="41" width="6.5" style="3" customWidth="1"/>
    <col min="42" max="42" width="1.625" style="3" customWidth="1"/>
    <col min="43" max="69" width="3.625" style="3" customWidth="1"/>
    <col min="70" max="70" width="2.625" style="3" customWidth="1"/>
    <col min="71" max="16384" width="9" style="3"/>
  </cols>
  <sheetData>
    <row r="2" spans="2:69" ht="39.950000000000003" customHeight="1" x14ac:dyDescent="0.4">
      <c r="B2" s="1" t="s">
        <v>10</v>
      </c>
      <c r="C2" s="2"/>
      <c r="D2" s="2"/>
      <c r="E2" s="2"/>
      <c r="K2" s="29"/>
      <c r="N2" s="30"/>
      <c r="O2" s="30"/>
      <c r="AB2" s="70" t="s">
        <v>42</v>
      </c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</row>
    <row r="3" spans="2:69" ht="40.5" x14ac:dyDescent="0.4">
      <c r="B3" s="71" t="s">
        <v>9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</row>
    <row r="4" spans="2:69" ht="10.5" customHeight="1" x14ac:dyDescent="0.4"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</row>
    <row r="5" spans="2:69" ht="40.5" customHeight="1" x14ac:dyDescent="0.4">
      <c r="B5" s="62" t="s">
        <v>18</v>
      </c>
      <c r="C5" s="62"/>
      <c r="D5" s="75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7"/>
      <c r="X5" s="62" t="s">
        <v>7</v>
      </c>
      <c r="Y5" s="62"/>
      <c r="Z5" s="62"/>
      <c r="AA5" s="79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1"/>
    </row>
    <row r="6" spans="2:69" ht="40.5" customHeight="1" x14ac:dyDescent="0.4">
      <c r="B6" s="62" t="s">
        <v>17</v>
      </c>
      <c r="C6" s="62"/>
      <c r="D6" s="78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7"/>
      <c r="X6" s="62" t="s">
        <v>6</v>
      </c>
      <c r="Y6" s="62"/>
      <c r="Z6" s="62"/>
      <c r="AA6" s="82"/>
      <c r="AB6" s="83"/>
      <c r="AC6" s="83"/>
      <c r="AD6" s="83"/>
      <c r="AE6" s="24" t="s">
        <v>37</v>
      </c>
      <c r="AF6" s="84" t="str">
        <f>IF(AA6&gt;0,TEXT(AA6,"aaa"),"")</f>
        <v/>
      </c>
      <c r="AG6" s="24" t="s">
        <v>38</v>
      </c>
      <c r="AH6" s="24" t="s">
        <v>40</v>
      </c>
      <c r="AI6" s="85"/>
      <c r="AJ6" s="85"/>
      <c r="AK6" s="85"/>
      <c r="AL6" s="85"/>
      <c r="AM6" s="24" t="s">
        <v>37</v>
      </c>
      <c r="AN6" s="84" t="str">
        <f>IF(AI6&gt;0,TEXT(AI6,"aaa"),"")</f>
        <v/>
      </c>
      <c r="AO6" s="25" t="s">
        <v>38</v>
      </c>
    </row>
    <row r="7" spans="2:69" ht="40.5" customHeight="1" x14ac:dyDescent="0.4">
      <c r="B7" s="62" t="s">
        <v>4</v>
      </c>
      <c r="C7" s="62"/>
      <c r="D7" s="75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7"/>
      <c r="X7" s="62" t="s">
        <v>8</v>
      </c>
      <c r="Y7" s="62"/>
      <c r="Z7" s="62"/>
      <c r="AA7" s="75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7"/>
    </row>
    <row r="8" spans="2:69" ht="19.5" customHeight="1" thickBot="1" x14ac:dyDescent="0.45">
      <c r="C8" s="3"/>
    </row>
    <row r="9" spans="2:69" ht="24" x14ac:dyDescent="0.4">
      <c r="B9" s="39" t="s">
        <v>19</v>
      </c>
      <c r="C9" s="9" t="s">
        <v>15</v>
      </c>
      <c r="D9" s="9">
        <f>IF($AF$12-1&lt;=0,,MONTH($AA$6))</f>
        <v>0</v>
      </c>
      <c r="E9" s="9">
        <f>IF($AF$12-2&lt;0,,MONTH($AA$6+1))</f>
        <v>0</v>
      </c>
      <c r="F9" s="9">
        <f>IF($AF$12-3&lt;0,,MONTH($AA$6+2))</f>
        <v>0</v>
      </c>
      <c r="G9" s="9">
        <f>IF($AF$12-4&lt;0,,MONTH($AA$6+3))</f>
        <v>0</v>
      </c>
      <c r="H9" s="9">
        <f>IF($AF$12-5&lt;0,,MONTH($AA$6+4))</f>
        <v>0</v>
      </c>
      <c r="I9" s="9">
        <f>IF($AF$12-6&lt;0,,MONTH($AA$6+5))</f>
        <v>0</v>
      </c>
      <c r="J9" s="9">
        <f>IF($AF$12-7&lt;0,,MONTH($AA$6+6))</f>
        <v>0</v>
      </c>
      <c r="K9" s="9">
        <f>IF($AF$12-8&lt;0,,MONTH($AA$6+7))</f>
        <v>0</v>
      </c>
      <c r="L9" s="9">
        <f>IF($AF$12-9&lt;0,,MONTH($AA$6+8))</f>
        <v>0</v>
      </c>
      <c r="M9" s="9">
        <f>IF($AF$12-10&lt;0,,MONTH($AA$6+9))</f>
        <v>0</v>
      </c>
      <c r="N9" s="9">
        <f>IF($AF$12-11&lt;0,,MONTH($AA$6+10))</f>
        <v>0</v>
      </c>
      <c r="O9" s="9">
        <f>IF($AF$12-12&lt;0,,MONTH($AA$6+11))</f>
        <v>0</v>
      </c>
      <c r="P9" s="9">
        <f>IF($AF$12-13&lt;0,,MONTH($AA$6+12))</f>
        <v>0</v>
      </c>
      <c r="Q9" s="9">
        <f>IF($AF$12-14&lt;0,,MONTH($AA$6+13))</f>
        <v>0</v>
      </c>
      <c r="R9" s="9">
        <f>IF($AF$12-15&lt;0,,MONTH($AA$6+14))</f>
        <v>0</v>
      </c>
      <c r="S9" s="9">
        <f>IF($AF$12-16&lt;0,,MONTH($AA$6+15))</f>
        <v>0</v>
      </c>
      <c r="T9" s="9">
        <f>IF($AF$12-17&lt;0,,MONTH($AA$6+16))</f>
        <v>0</v>
      </c>
      <c r="U9" s="9">
        <f>IF($AF$12-18&lt;0,,MONTH($AA$6+17))</f>
        <v>0</v>
      </c>
      <c r="V9" s="9">
        <f>IF($AF$12-19&lt;0,,MONTH($AA$6+18))</f>
        <v>0</v>
      </c>
      <c r="W9" s="9">
        <f>IF($AF$12-20&lt;0,,MONTH($AA$6+19))</f>
        <v>0</v>
      </c>
      <c r="X9" s="9">
        <f>IF($AF$12-21&lt;0,,MONTH($AA$6+20))</f>
        <v>0</v>
      </c>
      <c r="Y9" s="9">
        <f>IF($AF$12-22&lt;0,,MONTH($AA$6+21))</f>
        <v>0</v>
      </c>
      <c r="Z9" s="9">
        <f>IF($AF$12-23&lt;0,,MONTH($AA$6+22))</f>
        <v>0</v>
      </c>
      <c r="AA9" s="9">
        <f>IF($AF$12-24&lt;0,,MONTH($AA$6+23))</f>
        <v>0</v>
      </c>
      <c r="AB9" s="9">
        <f>IF($AF$12-25&lt;0,,MONTH($AA$6+24))</f>
        <v>0</v>
      </c>
      <c r="AC9" s="9">
        <f>IF($AF$12-26&lt;0,,MONTH($AA$6+25))</f>
        <v>0</v>
      </c>
      <c r="AD9" s="9">
        <f>IF($AF$12-27&lt;0,,MONTH($AA$6+26))</f>
        <v>0</v>
      </c>
      <c r="AE9" s="9">
        <f>IF($AF$12-28&lt;0,,MONTH($AA$6+27))</f>
        <v>0</v>
      </c>
      <c r="AF9" s="42" t="s">
        <v>39</v>
      </c>
      <c r="AG9" s="43"/>
      <c r="AH9" s="43"/>
      <c r="AI9" s="43"/>
      <c r="AJ9" s="43"/>
      <c r="AK9" s="43"/>
      <c r="AL9" s="43"/>
      <c r="AM9" s="44"/>
      <c r="AN9" s="45" t="s">
        <v>5</v>
      </c>
      <c r="AO9" s="45"/>
    </row>
    <row r="10" spans="2:69" ht="24" x14ac:dyDescent="0.4">
      <c r="B10" s="40"/>
      <c r="C10" s="20" t="s">
        <v>11</v>
      </c>
      <c r="D10" s="20">
        <f>IF($AF$12-1&lt;=0,,DAY($AA$6))</f>
        <v>0</v>
      </c>
      <c r="E10" s="20">
        <f>IF($AF$12-2&lt;0,,DAY($AA$6+1))</f>
        <v>0</v>
      </c>
      <c r="F10" s="20">
        <f>IF($AF$12-3&lt;0,,DAY($AA$6+2))</f>
        <v>0</v>
      </c>
      <c r="G10" s="20">
        <f>IF($AF$12-4&lt;0,,DAY($AA$6+3))</f>
        <v>0</v>
      </c>
      <c r="H10" s="20">
        <f>IF($AF$12-5&lt;0,,DAY($AA$6+4))</f>
        <v>0</v>
      </c>
      <c r="I10" s="20">
        <f>IF($AF$12-6&lt;0,,DAY($AA$6+5))</f>
        <v>0</v>
      </c>
      <c r="J10" s="20">
        <f>IF($AF$12-7&lt;0,,DAY($AA$6+6))</f>
        <v>0</v>
      </c>
      <c r="K10" s="20">
        <f>IF($AF$12-8&lt;0,,DAY($AA$6+7))</f>
        <v>0</v>
      </c>
      <c r="L10" s="20">
        <f>IF($AF$12-9&lt;0,,DAY($AA$6+8))</f>
        <v>0</v>
      </c>
      <c r="M10" s="20">
        <f>IF($AF$12-10&lt;0,,DAY($AA$6+9))</f>
        <v>0</v>
      </c>
      <c r="N10" s="20">
        <f>IF($AF$12-11&lt;0,,DAY($AA$6+10))</f>
        <v>0</v>
      </c>
      <c r="O10" s="20">
        <f>IF($AF$12-12&lt;0,,DAY($AA$6+11))</f>
        <v>0</v>
      </c>
      <c r="P10" s="20">
        <f>IF($AF$12-13&lt;0,,DAY($AA$6+12))</f>
        <v>0</v>
      </c>
      <c r="Q10" s="20">
        <f>IF($AF$12-14&lt;0,,DAY($AA$6+13))</f>
        <v>0</v>
      </c>
      <c r="R10" s="20">
        <f>IF($AF$12-15&lt;0,,DAY($AA$6+14))</f>
        <v>0</v>
      </c>
      <c r="S10" s="20">
        <f>IF($AF$12-16&lt;0,,DAY($AA$6+15))</f>
        <v>0</v>
      </c>
      <c r="T10" s="20">
        <f>IF($AF$12-17&lt;0,,DAY($AA$6+16))</f>
        <v>0</v>
      </c>
      <c r="U10" s="20">
        <f>IF($AF$12-18&lt;0,,DAY($AA$6+17))</f>
        <v>0</v>
      </c>
      <c r="V10" s="20">
        <f>IF($AF$12-19&lt;0,,DAY($AA$6+18))</f>
        <v>0</v>
      </c>
      <c r="W10" s="20">
        <f>IF($AF$12-20&lt;0,,DAY($AA$6+19))</f>
        <v>0</v>
      </c>
      <c r="X10" s="20">
        <f>IF($AF$12-21&lt;0,,DAY($AA$6+20))</f>
        <v>0</v>
      </c>
      <c r="Y10" s="20">
        <f>IF($AF$12-22&lt;0,,DAY($AA$6+21))</f>
        <v>0</v>
      </c>
      <c r="Z10" s="20">
        <f>IF($AF$12-23&lt;0,,DAY($AA$6+22))</f>
        <v>0</v>
      </c>
      <c r="AA10" s="20">
        <f>IF($AF$12-24&lt;0,,DAY($AA$6+23))</f>
        <v>0</v>
      </c>
      <c r="AB10" s="20">
        <f>IF($AF$12-25&lt;0,,DAY($AA$6+24))</f>
        <v>0</v>
      </c>
      <c r="AC10" s="20">
        <f>IF($AF$12-26&lt;0,,DAY($AA$6+25))</f>
        <v>0</v>
      </c>
      <c r="AD10" s="20">
        <f>IF($AF$12-27&lt;0,,DAY($AA$6+26))</f>
        <v>0</v>
      </c>
      <c r="AE10" s="20">
        <f>IF($AF$12-28&lt;0,,DAY($AA$6+27))</f>
        <v>0</v>
      </c>
      <c r="AF10" s="26"/>
      <c r="AG10" s="27"/>
      <c r="AH10" s="47" t="s">
        <v>14</v>
      </c>
      <c r="AI10" s="48"/>
      <c r="AJ10" s="48"/>
      <c r="AK10" s="48"/>
      <c r="AL10" s="48"/>
      <c r="AM10" s="49"/>
      <c r="AN10" s="46"/>
      <c r="AO10" s="46"/>
    </row>
    <row r="11" spans="2:69" ht="24" x14ac:dyDescent="0.4">
      <c r="B11" s="40"/>
      <c r="C11" s="20" t="s">
        <v>16</v>
      </c>
      <c r="D11" s="20" t="str">
        <f>IF(AA6&gt;0,TEXT(AA6,"aaa"),"")</f>
        <v/>
      </c>
      <c r="E11" s="20" t="str" cm="1">
        <f t="array" ref="E11">IF(E10&gt;0,_xlfn.SWITCH(D11,"月","火","火","水","水","木","木","金","金","土","土","日","日","月"),"")</f>
        <v/>
      </c>
      <c r="F11" s="20" t="str" cm="1">
        <f t="array" ref="F11">IF(F10&gt;0,_xlfn.SWITCH(E11,"月","火","火","水","水","木","木","金","金","土","土","日","日","月"),"")</f>
        <v/>
      </c>
      <c r="G11" s="20" t="str" cm="1">
        <f t="array" ref="G11">IF(G10&gt;0,_xlfn.SWITCH(F11,"月","火","火","水","水","木","木","金","金","土","土","日","日","月"),"")</f>
        <v/>
      </c>
      <c r="H11" s="20" t="str" cm="1">
        <f t="array" ref="H11">IF(H10&gt;0,_xlfn.SWITCH(G11,"月","火","火","水","水","木","木","金","金","土","土","日","日","月"),"")</f>
        <v/>
      </c>
      <c r="I11" s="20" t="str" cm="1">
        <f t="array" ref="I11">IF(I10&gt;0,_xlfn.SWITCH(H11,"月","火","火","水","水","木","木","金","金","土","土","日","日","月"),"")</f>
        <v/>
      </c>
      <c r="J11" s="20" t="str" cm="1">
        <f t="array" ref="J11">IF(J10&gt;0,_xlfn.SWITCH(I11,"月","火","火","水","水","木","木","金","金","土","土","日","日","月"),"")</f>
        <v/>
      </c>
      <c r="K11" s="20" t="str" cm="1">
        <f t="array" ref="K11">IF(K10&gt;0,_xlfn.SWITCH(J11,"月","火","火","水","水","木","木","金","金","土","土","日","日","月"),"")</f>
        <v/>
      </c>
      <c r="L11" s="20" t="str" cm="1">
        <f t="array" ref="L11">IF(L10&gt;0,_xlfn.SWITCH(K11,"月","火","火","水","水","木","木","金","金","土","土","日","日","月"),"")</f>
        <v/>
      </c>
      <c r="M11" s="20" t="str" cm="1">
        <f t="array" ref="M11">IF(M10&gt;0,_xlfn.SWITCH(L11,"月","火","火","水","水","木","木","金","金","土","土","日","日","月"),"")</f>
        <v/>
      </c>
      <c r="N11" s="20" t="str" cm="1">
        <f t="array" ref="N11">IF(N10&gt;0,_xlfn.SWITCH(M11,"月","火","火","水","水","木","木","金","金","土","土","日","日","月"),"")</f>
        <v/>
      </c>
      <c r="O11" s="20" t="str" cm="1">
        <f t="array" ref="O11">IF(O10&gt;0,_xlfn.SWITCH(N11,"月","火","火","水","水","木","木","金","金","土","土","日","日","月"),"")</f>
        <v/>
      </c>
      <c r="P11" s="20" t="str" cm="1">
        <f t="array" ref="P11">IF(P10&gt;0,_xlfn.SWITCH(O11,"月","火","火","水","水","木","木","金","金","土","土","日","日","月"),"")</f>
        <v/>
      </c>
      <c r="Q11" s="20" t="str" cm="1">
        <f t="array" ref="Q11">IF(Q10&gt;0,_xlfn.SWITCH(P11,"月","火","火","水","水","木","木","金","金","土","土","日","日","月"),"")</f>
        <v/>
      </c>
      <c r="R11" s="20" t="str" cm="1">
        <f t="array" ref="R11">IF(R10&gt;0,_xlfn.SWITCH(Q11,"月","火","火","水","水","木","木","金","金","土","土","日","日","月"),"")</f>
        <v/>
      </c>
      <c r="S11" s="20" t="str" cm="1">
        <f t="array" ref="S11">IF(S10&gt;0,_xlfn.SWITCH(R11,"月","火","火","水","水","木","木","金","金","土","土","日","日","月"),"")</f>
        <v/>
      </c>
      <c r="T11" s="20" t="str" cm="1">
        <f t="array" ref="T11">IF(T10&gt;0,_xlfn.SWITCH(S11,"月","火","火","水","水","木","木","金","金","土","土","日","日","月"),"")</f>
        <v/>
      </c>
      <c r="U11" s="20" t="str" cm="1">
        <f t="array" ref="U11">IF(U10&gt;0,_xlfn.SWITCH(T11,"月","火","火","水","水","木","木","金","金","土","土","日","日","月"),"")</f>
        <v/>
      </c>
      <c r="V11" s="20" t="str" cm="1">
        <f t="array" ref="V11">IF(V10&gt;0,_xlfn.SWITCH(U11,"月","火","火","水","水","木","木","金","金","土","土","日","日","月"),"")</f>
        <v/>
      </c>
      <c r="W11" s="20" t="str" cm="1">
        <f t="array" ref="W11">IF(W10&gt;0,_xlfn.SWITCH(V11,"月","火","火","水","水","木","木","金","金","土","土","日","日","月"),"")</f>
        <v/>
      </c>
      <c r="X11" s="20" t="str" cm="1">
        <f t="array" ref="X11">IF(X10&gt;0,_xlfn.SWITCH(W11,"月","火","火","水","水","木","木","金","金","土","土","日","日","月"),"")</f>
        <v/>
      </c>
      <c r="Y11" s="20" t="str" cm="1">
        <f t="array" ref="Y11">IF(Y10&gt;0,_xlfn.SWITCH(X11,"月","火","火","水","水","木","木","金","金","土","土","日","日","月"),"")</f>
        <v/>
      </c>
      <c r="Z11" s="20" t="str" cm="1">
        <f t="array" ref="Z11">IF(Z10&gt;0,_xlfn.SWITCH(Y11,"月","火","火","水","水","木","木","金","金","土","土","日","日","月"),"")</f>
        <v/>
      </c>
      <c r="AA11" s="20" t="str" cm="1">
        <f t="array" ref="AA11">IF(AA10&gt;0,_xlfn.SWITCH(Z11,"月","火","火","水","水","木","木","金","金","土","土","日","日","月"),"")</f>
        <v/>
      </c>
      <c r="AB11" s="20" t="str" cm="1">
        <f t="array" ref="AB11">IF(AB10&gt;0,_xlfn.SWITCH(AA11,"月","火","火","水","水","木","木","金","金","土","土","日","日","月"),"")</f>
        <v/>
      </c>
      <c r="AC11" s="20" t="str" cm="1">
        <f t="array" ref="AC11">IF(AC10&gt;0,_xlfn.SWITCH(AB11,"月","火","火","水","水","木","木","金","金","土","土","日","日","月"),"")</f>
        <v/>
      </c>
      <c r="AD11" s="20" t="str" cm="1">
        <f t="array" ref="AD11">IF(AD10&gt;0,_xlfn.SWITCH(AC11,"月","火","火","水","水","木","木","金","金","土","土","日","日","月"),"")</f>
        <v/>
      </c>
      <c r="AE11" s="20" t="str" cm="1">
        <f t="array" ref="AE11">IF(AE10&gt;0,_xlfn.SWITCH(AD11,"月","火","火","水","水","木","木","金","金","土","土","日","日","月"),"")</f>
        <v/>
      </c>
      <c r="AF11" s="28"/>
      <c r="AG11" s="7"/>
      <c r="AH11" s="11"/>
      <c r="AI11" s="7"/>
      <c r="AJ11" s="50" t="s">
        <v>12</v>
      </c>
      <c r="AK11" s="51"/>
      <c r="AL11" s="51"/>
      <c r="AM11" s="52"/>
      <c r="AN11" s="46"/>
      <c r="AO11" s="46"/>
    </row>
    <row r="12" spans="2:69" ht="24" x14ac:dyDescent="0.4">
      <c r="B12" s="40"/>
      <c r="C12" s="19" t="s">
        <v>0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31">
        <f>IF(AA6="",0,IF(_xlfn.DAYS(AI6,AA6)+1&gt;=28,28,IF(_xlfn.DAYS(AI6,AA6)+1&lt;0,0,_xlfn.DAYS(AI6,AA6)+1)))</f>
        <v>0</v>
      </c>
      <c r="AG12" s="33"/>
      <c r="AH12" s="53">
        <f>AF12-COUNTIF(D12:AE12,"×")</f>
        <v>0</v>
      </c>
      <c r="AI12" s="54"/>
      <c r="AJ12" s="53">
        <f>COUNTIF(D12:AE12,"●")</f>
        <v>0</v>
      </c>
      <c r="AK12" s="61"/>
      <c r="AL12" s="61"/>
      <c r="AM12" s="54"/>
      <c r="AN12" s="34" t="e">
        <f>AJ12/AH12</f>
        <v>#DIV/0!</v>
      </c>
      <c r="AO12" s="34"/>
    </row>
    <row r="13" spans="2:69" ht="24.75" thickBot="1" x14ac:dyDescent="0.45">
      <c r="B13" s="41"/>
      <c r="C13" s="21" t="s">
        <v>1</v>
      </c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35">
        <f>IF(AA6="",0,IF(_xlfn.DAYS(AI6,AA6)+1&gt;=28,28,IF(_xlfn.DAYS(AI6,AA6)+1&lt;0,0,_xlfn.DAYS(AI6,AA6)+1)))</f>
        <v>0</v>
      </c>
      <c r="AG13" s="36"/>
      <c r="AH13" s="35">
        <f>AF13-COUNTIF(D13:AE13,"×")</f>
        <v>0</v>
      </c>
      <c r="AI13" s="36"/>
      <c r="AJ13" s="35">
        <f>COUNTIF(D13:AE13,"●")</f>
        <v>0</v>
      </c>
      <c r="AK13" s="37"/>
      <c r="AL13" s="37"/>
      <c r="AM13" s="36"/>
      <c r="AN13" s="38" t="e">
        <f>AJ13/AH13</f>
        <v>#DIV/0!</v>
      </c>
      <c r="AO13" s="38"/>
    </row>
    <row r="14" spans="2:69" ht="24" x14ac:dyDescent="0.4">
      <c r="B14" s="39" t="s">
        <v>20</v>
      </c>
      <c r="C14" s="9" t="s">
        <v>15</v>
      </c>
      <c r="D14" s="20">
        <f>IF($AF$17-1&lt;0,,MONTH($AA$6+28))</f>
        <v>0</v>
      </c>
      <c r="E14" s="20">
        <f>IF($AF$17-2&lt;0,,MONTH($AA$6+29))</f>
        <v>0</v>
      </c>
      <c r="F14" s="20">
        <f>IF($AF$17-3&lt;0,,MONTH($AA$6+30))</f>
        <v>0</v>
      </c>
      <c r="G14" s="20">
        <f>IF($AF$17-4&lt;0,,MONTH($AA$6+31))</f>
        <v>0</v>
      </c>
      <c r="H14" s="20">
        <f>IF($AF$17-5&lt;0,,MONTH($AA$6+32))</f>
        <v>0</v>
      </c>
      <c r="I14" s="20">
        <f>IF($AF$17-6&lt;0,,MONTH($AA$6+33))</f>
        <v>0</v>
      </c>
      <c r="J14" s="20">
        <f>IF($AF$17-7&lt;0,,MONTH($AA$6+34))</f>
        <v>0</v>
      </c>
      <c r="K14" s="20">
        <f>IF($AF$17-8&lt;0,,MONTH($AA$6+35))</f>
        <v>0</v>
      </c>
      <c r="L14" s="20">
        <f>IF($AF$17-9&lt;0,,MONTH($AA$6+36))</f>
        <v>0</v>
      </c>
      <c r="M14" s="20">
        <f>IF($AF$17-10&lt;0,,MONTH($AA$6+37))</f>
        <v>0</v>
      </c>
      <c r="N14" s="20">
        <f>IF($AF$17-11&lt;0,,MONTH($AA$6+38))</f>
        <v>0</v>
      </c>
      <c r="O14" s="20">
        <f>IF($AF$17-12&lt;0,,MONTH($AA$6+39))</f>
        <v>0</v>
      </c>
      <c r="P14" s="20">
        <f>IF($AF$17-13&lt;0,,MONTH($AA$6+40))</f>
        <v>0</v>
      </c>
      <c r="Q14" s="20">
        <f>IF($AF$17-14&lt;0,,MONTH($AA$6+41))</f>
        <v>0</v>
      </c>
      <c r="R14" s="20">
        <f>IF($AF$17-15&lt;0,,MONTH($AA$6+42))</f>
        <v>0</v>
      </c>
      <c r="S14" s="20">
        <f>IF($AF$17-16&lt;0,,MONTH($AA$6+43))</f>
        <v>0</v>
      </c>
      <c r="T14" s="20">
        <f>IF($AF$17-17&lt;0,,MONTH($AA$6+44))</f>
        <v>0</v>
      </c>
      <c r="U14" s="20">
        <f>IF($AF$17-18&lt;0,,MONTH($AA$6+45))</f>
        <v>0</v>
      </c>
      <c r="V14" s="20">
        <f>IF($AF$17-19&lt;0,,MONTH($AA$6+46))</f>
        <v>0</v>
      </c>
      <c r="W14" s="20">
        <f>IF($AF$17-20&lt;0,,MONTH($AA$6+47))</f>
        <v>0</v>
      </c>
      <c r="X14" s="20">
        <f>IF($AF$17-21&lt;0,,MONTH($AA$6+48))</f>
        <v>0</v>
      </c>
      <c r="Y14" s="20">
        <f>IF($AF$17-22&lt;0,,MONTH($AA$6+49))</f>
        <v>0</v>
      </c>
      <c r="Z14" s="20">
        <f>IF($AF$17-23&lt;0,,MONTH($AA$6+50))</f>
        <v>0</v>
      </c>
      <c r="AA14" s="20">
        <f>IF($AF$17-24&lt;0,,MONTH($AA$6+51))</f>
        <v>0</v>
      </c>
      <c r="AB14" s="20">
        <f>IF($AF$17-25&lt;0,,MONTH($AA$6+52))</f>
        <v>0</v>
      </c>
      <c r="AC14" s="20">
        <f>IF($AF$17-26&lt;0,,MONTH($AA$6+53))</f>
        <v>0</v>
      </c>
      <c r="AD14" s="20">
        <f>IF($AF$17-27&lt;0,,MONTH($AA$6+54))</f>
        <v>0</v>
      </c>
      <c r="AE14" s="20">
        <f>IF($AF$17-28&lt;0,,MONTH($AA$6+55))</f>
        <v>0</v>
      </c>
      <c r="AF14" s="55" t="s">
        <v>39</v>
      </c>
      <c r="AG14" s="56"/>
      <c r="AH14" s="59"/>
      <c r="AI14" s="59"/>
      <c r="AJ14" s="59"/>
      <c r="AK14" s="59"/>
      <c r="AL14" s="59"/>
      <c r="AM14" s="60"/>
      <c r="AN14" s="45" t="s">
        <v>5</v>
      </c>
      <c r="AO14" s="45"/>
    </row>
    <row r="15" spans="2:69" ht="24" x14ac:dyDescent="0.4">
      <c r="B15" s="40"/>
      <c r="C15" s="20" t="s">
        <v>11</v>
      </c>
      <c r="D15" s="20">
        <f>IF($AF$17-1&lt;0,,DAY($AA$6+28))</f>
        <v>0</v>
      </c>
      <c r="E15" s="20">
        <f>IF($AF$17-2&lt;0,,DAY($AA$6+29))</f>
        <v>0</v>
      </c>
      <c r="F15" s="20">
        <f>IF($AF$17-3&lt;0,,DAY($AA$6+30))</f>
        <v>0</v>
      </c>
      <c r="G15" s="20">
        <f>IF($AF$17-4&lt;0,,DAY($AA$6+31))</f>
        <v>0</v>
      </c>
      <c r="H15" s="20">
        <f>IF($AF$17-5&lt;0,,DAY($AA$6+32))</f>
        <v>0</v>
      </c>
      <c r="I15" s="20">
        <f>IF($AF$17-6&lt;0,,DAY($AA$6+33))</f>
        <v>0</v>
      </c>
      <c r="J15" s="20">
        <f>IF($AF$17-7&lt;0,,DAY($AA$6+34))</f>
        <v>0</v>
      </c>
      <c r="K15" s="20">
        <f>IF($AF$17-8&lt;0,,DAY($AA$6+35))</f>
        <v>0</v>
      </c>
      <c r="L15" s="20">
        <f>IF($AF$17-9&lt;0,,DAY($AA$6+36))</f>
        <v>0</v>
      </c>
      <c r="M15" s="20">
        <f>IF($AF$17-10&lt;0,,DAY($AA$6+37))</f>
        <v>0</v>
      </c>
      <c r="N15" s="20">
        <f>IF($AF$17-11&lt;0,,DAY($AA$6+38))</f>
        <v>0</v>
      </c>
      <c r="O15" s="20">
        <f>IF($AF$17-12&lt;0,,DAY($AA$6+39))</f>
        <v>0</v>
      </c>
      <c r="P15" s="20">
        <f>IF($AF$17-13&lt;0,,DAY($AA$6+40))</f>
        <v>0</v>
      </c>
      <c r="Q15" s="20">
        <f>IF($AF$17-14&lt;0,,DAY($AA$6+41))</f>
        <v>0</v>
      </c>
      <c r="R15" s="20">
        <f>IF($AF$17-15&lt;0,,DAY($AA$6+42))</f>
        <v>0</v>
      </c>
      <c r="S15" s="20">
        <f>IF($AF$17-16&lt;0,,DAY($AA$6+43))</f>
        <v>0</v>
      </c>
      <c r="T15" s="20">
        <f>IF($AF$17-17&lt;0,,DAY($AA$6+44))</f>
        <v>0</v>
      </c>
      <c r="U15" s="20">
        <f>IF($AF$17-18&lt;0,,DAY($AA$6+45))</f>
        <v>0</v>
      </c>
      <c r="V15" s="20">
        <f>IF($AF$17-19&lt;0,,DAY($AA$6+46))</f>
        <v>0</v>
      </c>
      <c r="W15" s="20">
        <f>IF($AF$17-20&lt;0,,DAY($AA$6+47))</f>
        <v>0</v>
      </c>
      <c r="X15" s="20">
        <f>IF($AF$17-21&lt;0,,DAY($AA$6+48))</f>
        <v>0</v>
      </c>
      <c r="Y15" s="20">
        <f>IF($AF$17-22&lt;0,,DAY($AA$6+49))</f>
        <v>0</v>
      </c>
      <c r="Z15" s="20">
        <f>IF($AF$17-23&lt;0,,DAY($AA$6+50))</f>
        <v>0</v>
      </c>
      <c r="AA15" s="20">
        <f>IF($AF$17-24&lt;0,,DAY($AA$6+51))</f>
        <v>0</v>
      </c>
      <c r="AB15" s="20">
        <f>IF($AF$17-25&lt;0,,DAY($AA$6+52))</f>
        <v>0</v>
      </c>
      <c r="AC15" s="20">
        <f>IF($AF$17-26&lt;0,,DAY($AA$6+53))</f>
        <v>0</v>
      </c>
      <c r="AD15" s="20">
        <f>IF($AF$17-27&lt;0,,DAY($AA$6+54))</f>
        <v>0</v>
      </c>
      <c r="AE15" s="20">
        <f>IF($AF$17-28&lt;0,,DAY($AA$6+55))</f>
        <v>0</v>
      </c>
      <c r="AF15" s="26"/>
      <c r="AG15" s="27"/>
      <c r="AH15" s="47" t="s">
        <v>14</v>
      </c>
      <c r="AI15" s="48"/>
      <c r="AJ15" s="48"/>
      <c r="AK15" s="48"/>
      <c r="AL15" s="48"/>
      <c r="AM15" s="49"/>
      <c r="AN15" s="46"/>
      <c r="AO15" s="46"/>
    </row>
    <row r="16" spans="2:69" ht="24" x14ac:dyDescent="0.4">
      <c r="B16" s="40"/>
      <c r="C16" s="20" t="s">
        <v>16</v>
      </c>
      <c r="D16" s="20" t="str" cm="1">
        <f t="array" ref="D16">IF(D15&gt;0,_xlfn.SWITCH(AE11,"月","火","火","水","水","木","木","金","金","土","土","日","日","月"),"")</f>
        <v/>
      </c>
      <c r="E16" s="20" t="str" cm="1">
        <f t="array" ref="E16">IF(E15&gt;0,_xlfn.SWITCH(D16,"月","火","火","水","水","木","木","金","金","土","土","日","日","月"),"")</f>
        <v/>
      </c>
      <c r="F16" s="20" t="str" cm="1">
        <f t="array" ref="F16">IF(F15&gt;0,_xlfn.SWITCH(E16,"月","火","火","水","水","木","木","金","金","土","土","日","日","月"),"")</f>
        <v/>
      </c>
      <c r="G16" s="20" t="str" cm="1">
        <f t="array" ref="G16">IF(G15&gt;0,_xlfn.SWITCH(F16,"月","火","火","水","水","木","木","金","金","土","土","日","日","月"),"")</f>
        <v/>
      </c>
      <c r="H16" s="20" t="str" cm="1">
        <f t="array" ref="H16">IF(H15&gt;0,_xlfn.SWITCH(G16,"月","火","火","水","水","木","木","金","金","土","土","日","日","月"),"")</f>
        <v/>
      </c>
      <c r="I16" s="20" t="str" cm="1">
        <f t="array" ref="I16">IF(I15&gt;0,_xlfn.SWITCH(H16,"月","火","火","水","水","木","木","金","金","土","土","日","日","月"),"")</f>
        <v/>
      </c>
      <c r="J16" s="20" t="str" cm="1">
        <f t="array" ref="J16">IF(J15&gt;0,_xlfn.SWITCH(I16,"月","火","火","水","水","木","木","金","金","土","土","日","日","月"),"")</f>
        <v/>
      </c>
      <c r="K16" s="20" t="str" cm="1">
        <f t="array" ref="K16">IF(K15&gt;0,_xlfn.SWITCH(J16,"月","火","火","水","水","木","木","金","金","土","土","日","日","月"),"")</f>
        <v/>
      </c>
      <c r="L16" s="20" t="str" cm="1">
        <f t="array" ref="L16">IF(L15&gt;0,_xlfn.SWITCH(K16,"月","火","火","水","水","木","木","金","金","土","土","日","日","月"),"")</f>
        <v/>
      </c>
      <c r="M16" s="20" t="str" cm="1">
        <f t="array" ref="M16">IF(M15&gt;0,_xlfn.SWITCH(L16,"月","火","火","水","水","木","木","金","金","土","土","日","日","月"),"")</f>
        <v/>
      </c>
      <c r="N16" s="20" t="str" cm="1">
        <f t="array" ref="N16">IF(N15&gt;0,_xlfn.SWITCH(M16,"月","火","火","水","水","木","木","金","金","土","土","日","日","月"),"")</f>
        <v/>
      </c>
      <c r="O16" s="20" t="str" cm="1">
        <f t="array" ref="O16">IF(O15&gt;0,_xlfn.SWITCH(N16,"月","火","火","水","水","木","木","金","金","土","土","日","日","月"),"")</f>
        <v/>
      </c>
      <c r="P16" s="20" t="str" cm="1">
        <f t="array" ref="P16">IF(P15&gt;0,_xlfn.SWITCH(O16,"月","火","火","水","水","木","木","金","金","土","土","日","日","月"),"")</f>
        <v/>
      </c>
      <c r="Q16" s="20" t="str" cm="1">
        <f t="array" ref="Q16">IF(Q15&gt;0,_xlfn.SWITCH(P16,"月","火","火","水","水","木","木","金","金","土","土","日","日","月"),"")</f>
        <v/>
      </c>
      <c r="R16" s="20" t="str" cm="1">
        <f t="array" ref="R16">IF(R15&gt;0,_xlfn.SWITCH(Q16,"月","火","火","水","水","木","木","金","金","土","土","日","日","月"),"")</f>
        <v/>
      </c>
      <c r="S16" s="20" t="str" cm="1">
        <f t="array" ref="S16">IF(S15&gt;0,_xlfn.SWITCH(R16,"月","火","火","水","水","木","木","金","金","土","土","日","日","月"),"")</f>
        <v/>
      </c>
      <c r="T16" s="20" t="str" cm="1">
        <f t="array" ref="T16">IF(T15&gt;0,_xlfn.SWITCH(S16,"月","火","火","水","水","木","木","金","金","土","土","日","日","月"),"")</f>
        <v/>
      </c>
      <c r="U16" s="20" t="str" cm="1">
        <f t="array" ref="U16">IF(U15&gt;0,_xlfn.SWITCH(T16,"月","火","火","水","水","木","木","金","金","土","土","日","日","月"),"")</f>
        <v/>
      </c>
      <c r="V16" s="20" t="str" cm="1">
        <f t="array" ref="V16">IF(V15&gt;0,_xlfn.SWITCH(U16,"月","火","火","水","水","木","木","金","金","土","土","日","日","月"),"")</f>
        <v/>
      </c>
      <c r="W16" s="20" t="str" cm="1">
        <f t="array" ref="W16">IF(W15&gt;0,_xlfn.SWITCH(V16,"月","火","火","水","水","木","木","金","金","土","土","日","日","月"),"")</f>
        <v/>
      </c>
      <c r="X16" s="20" t="str" cm="1">
        <f t="array" ref="X16">IF(X15&gt;0,_xlfn.SWITCH(W16,"月","火","火","水","水","木","木","金","金","土","土","日","日","月"),"")</f>
        <v/>
      </c>
      <c r="Y16" s="20" t="str" cm="1">
        <f t="array" ref="Y16">IF(Y15&gt;0,_xlfn.SWITCH(X16,"月","火","火","水","水","木","木","金","金","土","土","日","日","月"),"")</f>
        <v/>
      </c>
      <c r="Z16" s="20" t="str" cm="1">
        <f t="array" ref="Z16">IF(Z15&gt;0,_xlfn.SWITCH(Y16,"月","火","火","水","水","木","木","金","金","土","土","日","日","月"),"")</f>
        <v/>
      </c>
      <c r="AA16" s="20" t="str" cm="1">
        <f t="array" ref="AA16">IF(AA15&gt;0,_xlfn.SWITCH(Z16,"月","火","火","水","水","木","木","金","金","土","土","日","日","月"),"")</f>
        <v/>
      </c>
      <c r="AB16" s="20" t="str" cm="1">
        <f t="array" ref="AB16">IF(AB15&gt;0,_xlfn.SWITCH(AA16,"月","火","火","水","水","木","木","金","金","土","土","日","日","月"),"")</f>
        <v/>
      </c>
      <c r="AC16" s="20" t="str" cm="1">
        <f t="array" ref="AC16">IF(AC15&gt;0,_xlfn.SWITCH(AB16,"月","火","火","水","水","木","木","金","金","土","土","日","日","月"),"")</f>
        <v/>
      </c>
      <c r="AD16" s="20" t="str" cm="1">
        <f t="array" ref="AD16">IF(AD15&gt;0,_xlfn.SWITCH(AC16,"月","火","火","水","水","木","木","金","金","土","土","日","日","月"),"")</f>
        <v/>
      </c>
      <c r="AE16" s="20" t="str" cm="1">
        <f t="array" ref="AE16">IF(AE15&gt;0,_xlfn.SWITCH(AD16,"月","火","火","水","水","木","木","金","金","土","土","日","日","月"),"")</f>
        <v/>
      </c>
      <c r="AF16" s="28"/>
      <c r="AG16" s="7"/>
      <c r="AH16" s="11"/>
      <c r="AI16" s="7"/>
      <c r="AJ16" s="50" t="s">
        <v>12</v>
      </c>
      <c r="AK16" s="51"/>
      <c r="AL16" s="51"/>
      <c r="AM16" s="52"/>
      <c r="AN16" s="46"/>
      <c r="AO16" s="46"/>
    </row>
    <row r="17" spans="2:41" ht="24" x14ac:dyDescent="0.4">
      <c r="B17" s="40"/>
      <c r="C17" s="19" t="s">
        <v>0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31">
        <f>IF(AA6="",0,IF(_xlfn.DAYS(AI6,AA6)+1-28&gt;=28,28,IF(_xlfn.DAYS(AI6,AA6)+1-28&lt;0,0,_xlfn.DAYS(AI6,AA6)+1-28)))</f>
        <v>0</v>
      </c>
      <c r="AG17" s="33"/>
      <c r="AH17" s="53">
        <f>AF17-COUNTIF(D17:AE17,"×")</f>
        <v>0</v>
      </c>
      <c r="AI17" s="54"/>
      <c r="AJ17" s="31">
        <f>COUNTIF(D17:AE17,"●")</f>
        <v>0</v>
      </c>
      <c r="AK17" s="32"/>
      <c r="AL17" s="32"/>
      <c r="AM17" s="33"/>
      <c r="AN17" s="34" t="e">
        <f>AJ17/AH17</f>
        <v>#DIV/0!</v>
      </c>
      <c r="AO17" s="34"/>
    </row>
    <row r="18" spans="2:41" ht="24.75" thickBot="1" x14ac:dyDescent="0.45">
      <c r="B18" s="41"/>
      <c r="C18" s="21" t="s">
        <v>1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35">
        <f>IF(AA6="",0,IF(_xlfn.DAYS(AI6,AA6)+1-28&gt;=28,28,IF(_xlfn.DAYS(AI6,AA6)+1-28&lt;0,0,_xlfn.DAYS(AI6,AA6)+1-28)))</f>
        <v>0</v>
      </c>
      <c r="AG18" s="36"/>
      <c r="AH18" s="35">
        <f>AF18-COUNTIF(D18:AE18,"×")</f>
        <v>0</v>
      </c>
      <c r="AI18" s="36"/>
      <c r="AJ18" s="35">
        <f>COUNTIF(D18:AE18,"●")</f>
        <v>0</v>
      </c>
      <c r="AK18" s="37"/>
      <c r="AL18" s="37"/>
      <c r="AM18" s="36"/>
      <c r="AN18" s="38" t="e">
        <f>AJ18/AH18</f>
        <v>#DIV/0!</v>
      </c>
      <c r="AO18" s="38"/>
    </row>
    <row r="19" spans="2:41" ht="24" x14ac:dyDescent="0.4">
      <c r="B19" s="39" t="s">
        <v>21</v>
      </c>
      <c r="C19" s="9" t="s">
        <v>15</v>
      </c>
      <c r="D19" s="20">
        <f>IF($AF$22-1&lt;0,,MONTH($AA$6+56))</f>
        <v>0</v>
      </c>
      <c r="E19" s="20">
        <f>IF($AF$22-2&lt;0,,MONTH($AA$6+57))</f>
        <v>0</v>
      </c>
      <c r="F19" s="20">
        <f>IF($AF$22-3&lt;0,,MONTH($AA$6+58))</f>
        <v>0</v>
      </c>
      <c r="G19" s="20">
        <f>IF($AF$22-4&lt;0,,MONTH($AA$6+59))</f>
        <v>0</v>
      </c>
      <c r="H19" s="20">
        <f>IF($AF$22-5&lt;0,,MONTH($AA$6+60))</f>
        <v>0</v>
      </c>
      <c r="I19" s="20">
        <f>IF($AF$22-6&lt;0,,MONTH($AA$6+61))</f>
        <v>0</v>
      </c>
      <c r="J19" s="20">
        <f>IF($AF$22-7&lt;0,,MONTH($AA$6+62))</f>
        <v>0</v>
      </c>
      <c r="K19" s="20">
        <f>IF($AF$22-8&lt;0,,MONTH($AA$6+63))</f>
        <v>0</v>
      </c>
      <c r="L19" s="20">
        <f>IF($AF$22-9&lt;0,,MONTH($AA$6+64))</f>
        <v>0</v>
      </c>
      <c r="M19" s="20">
        <f>IF($AF$22-10&lt;0,,MONTH($AA$6+65))</f>
        <v>0</v>
      </c>
      <c r="N19" s="20">
        <f>IF($AF$22-11&lt;0,,MONTH($AA$6+66))</f>
        <v>0</v>
      </c>
      <c r="O19" s="20">
        <f>IF($AF$22-12&lt;0,,MONTH($AA$6+67))</f>
        <v>0</v>
      </c>
      <c r="P19" s="20">
        <f>IF($AF$22-13&lt;0,,MONTH($AA$6+68))</f>
        <v>0</v>
      </c>
      <c r="Q19" s="20">
        <f>IF($AF$22-14&lt;0,,MONTH($AA$6+69))</f>
        <v>0</v>
      </c>
      <c r="R19" s="20">
        <f>IF($AF$22-15&lt;0,,MONTH($AA$6+70))</f>
        <v>0</v>
      </c>
      <c r="S19" s="20">
        <f>IF($AF$22-16&lt;0,,MONTH($AA$6+71))</f>
        <v>0</v>
      </c>
      <c r="T19" s="20">
        <f>IF($AF$22-17&lt;0,,MONTH($AA$6+72))</f>
        <v>0</v>
      </c>
      <c r="U19" s="20">
        <f>IF($AF$22-18&lt;0,,MONTH($AA$6+73))</f>
        <v>0</v>
      </c>
      <c r="V19" s="20">
        <f>IF($AF$22-19&lt;0,,MONTH($AA$6+74))</f>
        <v>0</v>
      </c>
      <c r="W19" s="20">
        <f>IF($AF$22-20&lt;0,,MONTH($AA$6+75))</f>
        <v>0</v>
      </c>
      <c r="X19" s="20">
        <f>IF($AF$22-21&lt;0,,MONTH($AA$6+76))</f>
        <v>0</v>
      </c>
      <c r="Y19" s="20">
        <f>IF($AF$22-22&lt;0,,MONTH($AA$6+77))</f>
        <v>0</v>
      </c>
      <c r="Z19" s="20">
        <f>IF($AF$22-23&lt;0,,MONTH($AA$6+78))</f>
        <v>0</v>
      </c>
      <c r="AA19" s="20">
        <f>IF($AF$22-24&lt;0,,MONTH($AA$6+79))</f>
        <v>0</v>
      </c>
      <c r="AB19" s="20">
        <f>IF($AF$22-25&lt;0,,MONTH($AA$6+80))</f>
        <v>0</v>
      </c>
      <c r="AC19" s="20">
        <f>IF($AF$22-26&lt;0,,MONTH($AA$6+81))</f>
        <v>0</v>
      </c>
      <c r="AD19" s="20">
        <f>IF($AF$22-27&lt;0,,MONTH($AA$6+82))</f>
        <v>0</v>
      </c>
      <c r="AE19" s="20">
        <f>IF($AF$22-28&lt;0,,MONTH($AA$6+83))</f>
        <v>0</v>
      </c>
      <c r="AF19" s="55" t="s">
        <v>39</v>
      </c>
      <c r="AG19" s="56"/>
      <c r="AH19" s="56"/>
      <c r="AI19" s="56"/>
      <c r="AJ19" s="56"/>
      <c r="AK19" s="56"/>
      <c r="AL19" s="56"/>
      <c r="AM19" s="57"/>
      <c r="AN19" s="45" t="s">
        <v>5</v>
      </c>
      <c r="AO19" s="45"/>
    </row>
    <row r="20" spans="2:41" ht="24" x14ac:dyDescent="0.4">
      <c r="B20" s="40"/>
      <c r="C20" s="20" t="s">
        <v>11</v>
      </c>
      <c r="D20" s="20">
        <f>IF($AF$22-1&lt;0,,DAY($AA$6+56))</f>
        <v>0</v>
      </c>
      <c r="E20" s="20">
        <f>IF($AF$22-2&lt;0,,DAY($AA$6+57))</f>
        <v>0</v>
      </c>
      <c r="F20" s="20">
        <f>IF($AF$22-3&lt;0,,DAY($AA$6+58))</f>
        <v>0</v>
      </c>
      <c r="G20" s="20">
        <f>IF($AF$22-4&lt;0,,DAY($AA$6+59))</f>
        <v>0</v>
      </c>
      <c r="H20" s="20">
        <f>IF($AF$22-5&lt;0,,DAY($AA$6+60))</f>
        <v>0</v>
      </c>
      <c r="I20" s="20">
        <f>IF($AF$22-6&lt;0,,DAY($AA$6+61))</f>
        <v>0</v>
      </c>
      <c r="J20" s="20">
        <f>IF($AF$22-7&lt;0,,DAY($AA$6+62))</f>
        <v>0</v>
      </c>
      <c r="K20" s="20">
        <f>IF($AF$22-8&lt;0,,DAY($AA$6+63))</f>
        <v>0</v>
      </c>
      <c r="L20" s="20">
        <f>IF($AF$22-9&lt;0,,DAY($AA$6+64))</f>
        <v>0</v>
      </c>
      <c r="M20" s="20">
        <f>IF($AF$22-10&lt;0,,DAY($AA$6+65))</f>
        <v>0</v>
      </c>
      <c r="N20" s="20">
        <f>IF($AF$22-11&lt;0,,DAY($AA$6+66))</f>
        <v>0</v>
      </c>
      <c r="O20" s="20">
        <f>IF($AF$22-12&lt;0,,DAY($AA$6+67))</f>
        <v>0</v>
      </c>
      <c r="P20" s="20">
        <f>IF($AF$22-13&lt;0,,DAY($AA$6+68))</f>
        <v>0</v>
      </c>
      <c r="Q20" s="20">
        <f>IF($AF$22-14&lt;0,,DAY($AA$6+69))</f>
        <v>0</v>
      </c>
      <c r="R20" s="20">
        <f>IF($AF$22-15&lt;0,,DAY($AA$6+70))</f>
        <v>0</v>
      </c>
      <c r="S20" s="20">
        <f>IF($AF$22-16&lt;0,,DAY($AA$6+71))</f>
        <v>0</v>
      </c>
      <c r="T20" s="20">
        <f>IF($AF$22-17&lt;0,,DAY($AA$6+72))</f>
        <v>0</v>
      </c>
      <c r="U20" s="20">
        <f>IF($AF$22-18&lt;0,,DAY($AA$6+73))</f>
        <v>0</v>
      </c>
      <c r="V20" s="20">
        <f>IF($AF$22-19&lt;0,,DAY($AA$6+74))</f>
        <v>0</v>
      </c>
      <c r="W20" s="20">
        <f>IF($AF$22-20&lt;0,,DAY($AA$6+75))</f>
        <v>0</v>
      </c>
      <c r="X20" s="20">
        <f>IF($AF$22-21&lt;0,,DAY($AA$6+76))</f>
        <v>0</v>
      </c>
      <c r="Y20" s="20">
        <f>IF($AF$22-22&lt;0,,DAY($AA$6+77))</f>
        <v>0</v>
      </c>
      <c r="Z20" s="20">
        <f>IF($AF$22-23&lt;0,,DAY($AA$6+78))</f>
        <v>0</v>
      </c>
      <c r="AA20" s="20">
        <f>IF($AF$22-24&lt;0,,DAY($AA$6+79))</f>
        <v>0</v>
      </c>
      <c r="AB20" s="20">
        <f>IF($AF$22-25&lt;0,,DAY($AA$6+80))</f>
        <v>0</v>
      </c>
      <c r="AC20" s="20">
        <f>IF($AF$22-26&lt;0,,DAY($AA$6+81))</f>
        <v>0</v>
      </c>
      <c r="AD20" s="20">
        <f>IF($AF$22-27&lt;0,,DAY($AA$6+82))</f>
        <v>0</v>
      </c>
      <c r="AE20" s="20">
        <f>IF($AF$22-28&lt;0,,DAY($AA$6+83))</f>
        <v>0</v>
      </c>
      <c r="AF20" s="26"/>
      <c r="AG20" s="27"/>
      <c r="AH20" s="47" t="s">
        <v>14</v>
      </c>
      <c r="AI20" s="48"/>
      <c r="AJ20" s="48"/>
      <c r="AK20" s="48"/>
      <c r="AL20" s="48"/>
      <c r="AM20" s="49"/>
      <c r="AN20" s="46"/>
      <c r="AO20" s="46"/>
    </row>
    <row r="21" spans="2:41" ht="24" x14ac:dyDescent="0.4">
      <c r="B21" s="40"/>
      <c r="C21" s="20" t="s">
        <v>16</v>
      </c>
      <c r="D21" s="20" t="str" cm="1">
        <f t="array" ref="D21">IF(D20&gt;0,_xlfn.SWITCH(AE16,"月","火","火","水","水","木","木","金","金","土","土","日","日","月"),"")</f>
        <v/>
      </c>
      <c r="E21" s="20" t="str" cm="1">
        <f t="array" ref="E21">IF(E20&gt;0,_xlfn.SWITCH(D21,"月","火","火","水","水","木","木","金","金","土","土","日","日","月"),"")</f>
        <v/>
      </c>
      <c r="F21" s="20" t="str" cm="1">
        <f t="array" ref="F21">IF(F20&gt;0,_xlfn.SWITCH(E21,"月","火","火","水","水","木","木","金","金","土","土","日","日","月"),"")</f>
        <v/>
      </c>
      <c r="G21" s="20" t="str" cm="1">
        <f t="array" ref="G21">IF(G20&gt;0,_xlfn.SWITCH(F21,"月","火","火","水","水","木","木","金","金","土","土","日","日","月"),"")</f>
        <v/>
      </c>
      <c r="H21" s="20" t="str" cm="1">
        <f t="array" ref="H21">IF(H20&gt;0,_xlfn.SWITCH(G21,"月","火","火","水","水","木","木","金","金","土","土","日","日","月"),"")</f>
        <v/>
      </c>
      <c r="I21" s="20" t="str" cm="1">
        <f t="array" ref="I21">IF(I20&gt;0,_xlfn.SWITCH(H21,"月","火","火","水","水","木","木","金","金","土","土","日","日","月"),"")</f>
        <v/>
      </c>
      <c r="J21" s="20" t="str" cm="1">
        <f t="array" ref="J21">IF(J20&gt;0,_xlfn.SWITCH(I21,"月","火","火","水","水","木","木","金","金","土","土","日","日","月"),"")</f>
        <v/>
      </c>
      <c r="K21" s="20" t="str" cm="1">
        <f t="array" ref="K21">IF(K20&gt;0,_xlfn.SWITCH(J21,"月","火","火","水","水","木","木","金","金","土","土","日","日","月"),"")</f>
        <v/>
      </c>
      <c r="L21" s="20" t="str" cm="1">
        <f t="array" ref="L21">IF(L20&gt;0,_xlfn.SWITCH(K21,"月","火","火","水","水","木","木","金","金","土","土","日","日","月"),"")</f>
        <v/>
      </c>
      <c r="M21" s="20" t="str" cm="1">
        <f t="array" ref="M21">IF(M20&gt;0,_xlfn.SWITCH(L21,"月","火","火","水","水","木","木","金","金","土","土","日","日","月"),"")</f>
        <v/>
      </c>
      <c r="N21" s="20" t="str" cm="1">
        <f t="array" ref="N21">IF(N20&gt;0,_xlfn.SWITCH(M21,"月","火","火","水","水","木","木","金","金","土","土","日","日","月"),"")</f>
        <v/>
      </c>
      <c r="O21" s="20" t="str" cm="1">
        <f t="array" ref="O21">IF(O20&gt;0,_xlfn.SWITCH(N21,"月","火","火","水","水","木","木","金","金","土","土","日","日","月"),"")</f>
        <v/>
      </c>
      <c r="P21" s="20" t="str" cm="1">
        <f t="array" ref="P21">IF(P20&gt;0,_xlfn.SWITCH(O21,"月","火","火","水","水","木","木","金","金","土","土","日","日","月"),"")</f>
        <v/>
      </c>
      <c r="Q21" s="20" t="str" cm="1">
        <f t="array" ref="Q21">IF(Q20&gt;0,_xlfn.SWITCH(P21,"月","火","火","水","水","木","木","金","金","土","土","日","日","月"),"")</f>
        <v/>
      </c>
      <c r="R21" s="20" t="str" cm="1">
        <f t="array" ref="R21">IF(R20&gt;0,_xlfn.SWITCH(Q21,"月","火","火","水","水","木","木","金","金","土","土","日","日","月"),"")</f>
        <v/>
      </c>
      <c r="S21" s="20" t="str" cm="1">
        <f t="array" ref="S21">IF(S20&gt;0,_xlfn.SWITCH(R21,"月","火","火","水","水","木","木","金","金","土","土","日","日","月"),"")</f>
        <v/>
      </c>
      <c r="T21" s="20" t="str" cm="1">
        <f t="array" ref="T21">IF(T20&gt;0,_xlfn.SWITCH(S21,"月","火","火","水","水","木","木","金","金","土","土","日","日","月"),"")</f>
        <v/>
      </c>
      <c r="U21" s="20" t="str" cm="1">
        <f t="array" ref="U21">IF(U20&gt;0,_xlfn.SWITCH(T21,"月","火","火","水","水","木","木","金","金","土","土","日","日","月"),"")</f>
        <v/>
      </c>
      <c r="V21" s="20" t="str" cm="1">
        <f t="array" ref="V21">IF(V20&gt;0,_xlfn.SWITCH(U21,"月","火","火","水","水","木","木","金","金","土","土","日","日","月"),"")</f>
        <v/>
      </c>
      <c r="W21" s="20" t="str" cm="1">
        <f t="array" ref="W21">IF(W20&gt;0,_xlfn.SWITCH(V21,"月","火","火","水","水","木","木","金","金","土","土","日","日","月"),"")</f>
        <v/>
      </c>
      <c r="X21" s="20" t="str" cm="1">
        <f t="array" ref="X21">IF(X20&gt;0,_xlfn.SWITCH(W21,"月","火","火","水","水","木","木","金","金","土","土","日","日","月"),"")</f>
        <v/>
      </c>
      <c r="Y21" s="20" t="str" cm="1">
        <f t="array" ref="Y21">IF(Y20&gt;0,_xlfn.SWITCH(X21,"月","火","火","水","水","木","木","金","金","土","土","日","日","月"),"")</f>
        <v/>
      </c>
      <c r="Z21" s="20" t="str" cm="1">
        <f t="array" ref="Z21">IF(Z20&gt;0,_xlfn.SWITCH(Y21,"月","火","火","水","水","木","木","金","金","土","土","日","日","月"),"")</f>
        <v/>
      </c>
      <c r="AA21" s="20" t="str" cm="1">
        <f t="array" ref="AA21">IF(AA20&gt;0,_xlfn.SWITCH(Z21,"月","火","火","水","水","木","木","金","金","土","土","日","日","月"),"")</f>
        <v/>
      </c>
      <c r="AB21" s="20" t="str" cm="1">
        <f t="array" ref="AB21">IF(AB20&gt;0,_xlfn.SWITCH(AA21,"月","火","火","水","水","木","木","金","金","土","土","日","日","月"),"")</f>
        <v/>
      </c>
      <c r="AC21" s="20" t="str" cm="1">
        <f t="array" ref="AC21">IF(AC20&gt;0,_xlfn.SWITCH(AB21,"月","火","火","水","水","木","木","金","金","土","土","日","日","月"),"")</f>
        <v/>
      </c>
      <c r="AD21" s="20" t="str" cm="1">
        <f t="array" ref="AD21">IF(AD20&gt;0,_xlfn.SWITCH(AC21,"月","火","火","水","水","木","木","金","金","土","土","日","日","月"),"")</f>
        <v/>
      </c>
      <c r="AE21" s="20" t="str" cm="1">
        <f t="array" ref="AE21">IF(AE20&gt;0,_xlfn.SWITCH(AD21,"月","火","火","水","水","木","木","金","金","土","土","日","日","月"),"")</f>
        <v/>
      </c>
      <c r="AF21" s="28"/>
      <c r="AG21" s="7"/>
      <c r="AH21" s="11"/>
      <c r="AI21" s="7"/>
      <c r="AJ21" s="50" t="s">
        <v>12</v>
      </c>
      <c r="AK21" s="51"/>
      <c r="AL21" s="51"/>
      <c r="AM21" s="52"/>
      <c r="AN21" s="46"/>
      <c r="AO21" s="46"/>
    </row>
    <row r="22" spans="2:41" ht="24" x14ac:dyDescent="0.4">
      <c r="B22" s="40"/>
      <c r="C22" s="19" t="s">
        <v>0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31">
        <f>IF(AA6="",0,IF(_xlfn.DAYS(AI6,AA6)+1-56&gt;=28,28,IF(_xlfn.DAYS(AI6,AA6)+1-56&lt;0,0,_xlfn.DAYS(AI6,AA6)+1-56)))</f>
        <v>0</v>
      </c>
      <c r="AG22" s="33"/>
      <c r="AH22" s="53">
        <f>AF22-COUNTIF(D22:AE22,"×")</f>
        <v>0</v>
      </c>
      <c r="AI22" s="54"/>
      <c r="AJ22" s="31">
        <f>COUNTIF(D22:AE22,"●")</f>
        <v>0</v>
      </c>
      <c r="AK22" s="32"/>
      <c r="AL22" s="32"/>
      <c r="AM22" s="33"/>
      <c r="AN22" s="34" t="e">
        <f>AJ22/AH22</f>
        <v>#DIV/0!</v>
      </c>
      <c r="AO22" s="34"/>
    </row>
    <row r="23" spans="2:41" ht="24.75" thickBot="1" x14ac:dyDescent="0.45">
      <c r="B23" s="41"/>
      <c r="C23" s="21" t="s">
        <v>1</v>
      </c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35">
        <f>IF(AA6="",0,IF(_xlfn.DAYS(AI6,AA6)+1-56&gt;=28,28,IF(_xlfn.DAYS(AI6,AA6)+1-56&lt;0,0,_xlfn.DAYS(AI6,AA6)+1-56)))</f>
        <v>0</v>
      </c>
      <c r="AG23" s="36"/>
      <c r="AH23" s="35">
        <f>AF23-COUNTIF(D23:AE23,"×")</f>
        <v>0</v>
      </c>
      <c r="AI23" s="36"/>
      <c r="AJ23" s="35">
        <f>COUNTIF(D23:AE23,"●")</f>
        <v>0</v>
      </c>
      <c r="AK23" s="37"/>
      <c r="AL23" s="37"/>
      <c r="AM23" s="36"/>
      <c r="AN23" s="38" t="e">
        <f>AJ23/AH23</f>
        <v>#DIV/0!</v>
      </c>
      <c r="AO23" s="38"/>
    </row>
    <row r="24" spans="2:41" ht="24" x14ac:dyDescent="0.4">
      <c r="B24" s="39" t="s">
        <v>22</v>
      </c>
      <c r="C24" s="9" t="s">
        <v>15</v>
      </c>
      <c r="D24" s="20">
        <f>IF($AF$27-1&lt;0,,MONTH($AA$6+84))</f>
        <v>0</v>
      </c>
      <c r="E24" s="20">
        <f>IF($AF$27-2&lt;0,,MONTH($AA$6+85))</f>
        <v>0</v>
      </c>
      <c r="F24" s="20">
        <f>IF($AF$27-3&lt;0,,MONTH($AA$6+86))</f>
        <v>0</v>
      </c>
      <c r="G24" s="20">
        <f>IF($AF$27-4&lt;0,,MONTH($AA$6+87))</f>
        <v>0</v>
      </c>
      <c r="H24" s="20">
        <f>IF($AF$27-5&lt;0,,MONTH($AA$6+88))</f>
        <v>0</v>
      </c>
      <c r="I24" s="20">
        <f>IF($AF$27-6&lt;0,,MONTH($AA$6+89))</f>
        <v>0</v>
      </c>
      <c r="J24" s="20">
        <f>IF($AF$27-7&lt;0,,MONTH($AA$6+90))</f>
        <v>0</v>
      </c>
      <c r="K24" s="20">
        <f>IF($AF$27-8&lt;0,,MONTH($AA$6+91))</f>
        <v>0</v>
      </c>
      <c r="L24" s="20">
        <f>IF($AF$27-9&lt;0,,MONTH($AA$6+92))</f>
        <v>0</v>
      </c>
      <c r="M24" s="20">
        <f>IF($AF$27-10&lt;0,,MONTH($AA$6+93))</f>
        <v>0</v>
      </c>
      <c r="N24" s="20">
        <f>IF($AF$27-11&lt;0,,MONTH($AA$6+94))</f>
        <v>0</v>
      </c>
      <c r="O24" s="20">
        <f>IF($AF$27-12&lt;0,,MONTH($AA$6+95))</f>
        <v>0</v>
      </c>
      <c r="P24" s="20">
        <f>IF($AF$27-13&lt;0,,MONTH($AA$6+96))</f>
        <v>0</v>
      </c>
      <c r="Q24" s="20">
        <f>IF($AF$27-14&lt;0,,MONTH($AA$6+97))</f>
        <v>0</v>
      </c>
      <c r="R24" s="20">
        <f>IF($AF$27-15&lt;0,,MONTH($AA$6+98))</f>
        <v>0</v>
      </c>
      <c r="S24" s="20">
        <f>IF($AF$27-16&lt;0,,MONTH($AA$6+99))</f>
        <v>0</v>
      </c>
      <c r="T24" s="20">
        <f>IF($AF$27-17&lt;0,,MONTH($AA$6+100))</f>
        <v>0</v>
      </c>
      <c r="U24" s="20">
        <f>IF($AF$27-18&lt;0,,MONTH($AA$6+101))</f>
        <v>0</v>
      </c>
      <c r="V24" s="20">
        <f>IF($AF$27-19&lt;0,,MONTH($AA$6+102))</f>
        <v>0</v>
      </c>
      <c r="W24" s="20">
        <f>IF($AF$27-20&lt;0,,MONTH($AA$6+103))</f>
        <v>0</v>
      </c>
      <c r="X24" s="20">
        <f>IF($AF$27-21&lt;0,,MONTH($AA$6+104))</f>
        <v>0</v>
      </c>
      <c r="Y24" s="20">
        <f>IF($AF$27-22&lt;0,,MONTH($AA$6+105))</f>
        <v>0</v>
      </c>
      <c r="Z24" s="20">
        <f>IF($AF$27-23&lt;0,,MONTH($AA$6+106))</f>
        <v>0</v>
      </c>
      <c r="AA24" s="20">
        <f>IF($AF$27-24&lt;0,,MONTH($AA$6+107))</f>
        <v>0</v>
      </c>
      <c r="AB24" s="20">
        <f>IF($AF$27-25&lt;0,,MONTH($AA$6+108))</f>
        <v>0</v>
      </c>
      <c r="AC24" s="20">
        <f>IF($AF$27-26&lt;0,,MONTH($AA$6+109))</f>
        <v>0</v>
      </c>
      <c r="AD24" s="20">
        <f>IF($AF$27-27&lt;0,,MONTH($AA$6+110))</f>
        <v>0</v>
      </c>
      <c r="AE24" s="20">
        <f>IF($AF$27-28&lt;0,,MONTH($AA$6+111))</f>
        <v>0</v>
      </c>
      <c r="AF24" s="55" t="s">
        <v>39</v>
      </c>
      <c r="AG24" s="56"/>
      <c r="AH24" s="56"/>
      <c r="AI24" s="56"/>
      <c r="AJ24" s="56"/>
      <c r="AK24" s="56"/>
      <c r="AL24" s="56"/>
      <c r="AM24" s="57"/>
      <c r="AN24" s="45" t="s">
        <v>5</v>
      </c>
      <c r="AO24" s="45"/>
    </row>
    <row r="25" spans="2:41" ht="24" x14ac:dyDescent="0.4">
      <c r="B25" s="40"/>
      <c r="C25" s="20" t="s">
        <v>11</v>
      </c>
      <c r="D25" s="20">
        <f>IF($AF$27-1&lt;0,,DAY($AA$6+84))</f>
        <v>0</v>
      </c>
      <c r="E25" s="20">
        <f>IF($AF$27-2&lt;0,,DAY($AA$6+85))</f>
        <v>0</v>
      </c>
      <c r="F25" s="20">
        <f>IF($AF$27-3&lt;0,,DAY($AA$6+86))</f>
        <v>0</v>
      </c>
      <c r="G25" s="20">
        <f>IF($AF$27-4&lt;0,,DAY($AA$6+87))</f>
        <v>0</v>
      </c>
      <c r="H25" s="20">
        <f>IF($AF$27-5&lt;0,,DAY($AA$6+88))</f>
        <v>0</v>
      </c>
      <c r="I25" s="20">
        <f>IF($AF$27-6&lt;0,,DAY($AA$6+89))</f>
        <v>0</v>
      </c>
      <c r="J25" s="20">
        <f>IF($AF$27-7&lt;0,,DAY($AA$6+90))</f>
        <v>0</v>
      </c>
      <c r="K25" s="20">
        <f>IF($AF$27-8&lt;0,,DAY($AA$6+91))</f>
        <v>0</v>
      </c>
      <c r="L25" s="20">
        <f>IF($AF$27-9&lt;0,,DAY($AA$6+92))</f>
        <v>0</v>
      </c>
      <c r="M25" s="20">
        <f>IF($AF$27-10&lt;0,,DAY($AA$6+93))</f>
        <v>0</v>
      </c>
      <c r="N25" s="20">
        <f>IF($AF$27-11&lt;0,,DAY($AA$6+94))</f>
        <v>0</v>
      </c>
      <c r="O25" s="20">
        <f>IF($AF$27-12&lt;0,,DAY($AA$6+95))</f>
        <v>0</v>
      </c>
      <c r="P25" s="20">
        <f>IF($AF$27-13&lt;0,,DAY($AA$6+96))</f>
        <v>0</v>
      </c>
      <c r="Q25" s="20">
        <f>IF($AF$27-14&lt;0,,DAY($AA$6+97))</f>
        <v>0</v>
      </c>
      <c r="R25" s="20">
        <f>IF($AF$27-15&lt;0,,DAY($AA$6+98))</f>
        <v>0</v>
      </c>
      <c r="S25" s="20">
        <f>IF($AF$27-16&lt;0,,DAY($AA$6+99))</f>
        <v>0</v>
      </c>
      <c r="T25" s="20">
        <f>IF($AF$27-17&lt;0,,DAY($AA$6+100))</f>
        <v>0</v>
      </c>
      <c r="U25" s="20">
        <f>IF($AF$27-18&lt;0,,DAY($AA$6+101))</f>
        <v>0</v>
      </c>
      <c r="V25" s="20">
        <f>IF($AF$27-19&lt;0,,DAY($AA$6+102))</f>
        <v>0</v>
      </c>
      <c r="W25" s="20">
        <f>IF($AF$27-20&lt;0,,DAY($AA$6+103))</f>
        <v>0</v>
      </c>
      <c r="X25" s="20">
        <f>IF($AF$27-21&lt;0,,DAY($AA$6+104))</f>
        <v>0</v>
      </c>
      <c r="Y25" s="20">
        <f>IF($AF$27-22&lt;0,,DAY($AA$6+105))</f>
        <v>0</v>
      </c>
      <c r="Z25" s="20">
        <f>IF($AF$27-23&lt;0,,DAY($AA$6+106))</f>
        <v>0</v>
      </c>
      <c r="AA25" s="20">
        <f>IF($AF$27-24&lt;0,,DAY($AA$6+107))</f>
        <v>0</v>
      </c>
      <c r="AB25" s="20">
        <f>IF($AF$27-25&lt;0,,DAY($AA$6+108))</f>
        <v>0</v>
      </c>
      <c r="AC25" s="20">
        <f>IF($AF$27-26&lt;0,,DAY($AA$6+109))</f>
        <v>0</v>
      </c>
      <c r="AD25" s="20">
        <f>IF($AF$27-27&lt;0,,DAY($AA$6+110))</f>
        <v>0</v>
      </c>
      <c r="AE25" s="20">
        <f>IF($AF$27-28&lt;0,,DAY($AA$6+111))</f>
        <v>0</v>
      </c>
      <c r="AF25" s="26"/>
      <c r="AG25" s="27"/>
      <c r="AH25" s="47" t="s">
        <v>14</v>
      </c>
      <c r="AI25" s="48"/>
      <c r="AJ25" s="48"/>
      <c r="AK25" s="48"/>
      <c r="AL25" s="48"/>
      <c r="AM25" s="49"/>
      <c r="AN25" s="46"/>
      <c r="AO25" s="46"/>
    </row>
    <row r="26" spans="2:41" ht="24" x14ac:dyDescent="0.4">
      <c r="B26" s="40"/>
      <c r="C26" s="20" t="s">
        <v>16</v>
      </c>
      <c r="D26" s="20" t="str" cm="1">
        <f t="array" ref="D26">IF(D25&gt;0,_xlfn.SWITCH(AE21,"月","火","火","水","水","木","木","金","金","土","土","日","日","月"),"")</f>
        <v/>
      </c>
      <c r="E26" s="20" t="str" cm="1">
        <f t="array" ref="E26">IF(E25&gt;0,_xlfn.SWITCH(D26,"月","火","火","水","水","木","木","金","金","土","土","日","日","月"),"")</f>
        <v/>
      </c>
      <c r="F26" s="20" t="str" cm="1">
        <f t="array" ref="F26">IF(F25&gt;0,_xlfn.SWITCH(E26,"月","火","火","水","水","木","木","金","金","土","土","日","日","月"),"")</f>
        <v/>
      </c>
      <c r="G26" s="20" t="str" cm="1">
        <f t="array" ref="G26">IF(G25&gt;0,_xlfn.SWITCH(F26,"月","火","火","水","水","木","木","金","金","土","土","日","日","月"),"")</f>
        <v/>
      </c>
      <c r="H26" s="20" t="str" cm="1">
        <f t="array" ref="H26">IF(H25&gt;0,_xlfn.SWITCH(G26,"月","火","火","水","水","木","木","金","金","土","土","日","日","月"),"")</f>
        <v/>
      </c>
      <c r="I26" s="20" t="str" cm="1">
        <f t="array" ref="I26">IF(I25&gt;0,_xlfn.SWITCH(H26,"月","火","火","水","水","木","木","金","金","土","土","日","日","月"),"")</f>
        <v/>
      </c>
      <c r="J26" s="20" t="str" cm="1">
        <f t="array" ref="J26">IF(J25&gt;0,_xlfn.SWITCH(I26,"月","火","火","水","水","木","木","金","金","土","土","日","日","月"),"")</f>
        <v/>
      </c>
      <c r="K26" s="20" t="str" cm="1">
        <f t="array" ref="K26">IF(K25&gt;0,_xlfn.SWITCH(J26,"月","火","火","水","水","木","木","金","金","土","土","日","日","月"),"")</f>
        <v/>
      </c>
      <c r="L26" s="20" t="str" cm="1">
        <f t="array" ref="L26">IF(L25&gt;0,_xlfn.SWITCH(K26,"月","火","火","水","水","木","木","金","金","土","土","日","日","月"),"")</f>
        <v/>
      </c>
      <c r="M26" s="20" t="str" cm="1">
        <f t="array" ref="M26">IF(M25&gt;0,_xlfn.SWITCH(L26,"月","火","火","水","水","木","木","金","金","土","土","日","日","月"),"")</f>
        <v/>
      </c>
      <c r="N26" s="20" t="str" cm="1">
        <f t="array" ref="N26">IF(N25&gt;0,_xlfn.SWITCH(M26,"月","火","火","水","水","木","木","金","金","土","土","日","日","月"),"")</f>
        <v/>
      </c>
      <c r="O26" s="20" t="str" cm="1">
        <f t="array" ref="O26">IF(O25&gt;0,_xlfn.SWITCH(N26,"月","火","火","水","水","木","木","金","金","土","土","日","日","月"),"")</f>
        <v/>
      </c>
      <c r="P26" s="20" t="str" cm="1">
        <f t="array" ref="P26">IF(P25&gt;0,_xlfn.SWITCH(O26,"月","火","火","水","水","木","木","金","金","土","土","日","日","月"),"")</f>
        <v/>
      </c>
      <c r="Q26" s="20" t="str" cm="1">
        <f t="array" ref="Q26">IF(Q25&gt;0,_xlfn.SWITCH(P26,"月","火","火","水","水","木","木","金","金","土","土","日","日","月"),"")</f>
        <v/>
      </c>
      <c r="R26" s="20" t="str" cm="1">
        <f t="array" ref="R26">IF(R25&gt;0,_xlfn.SWITCH(Q26,"月","火","火","水","水","木","木","金","金","土","土","日","日","月"),"")</f>
        <v/>
      </c>
      <c r="S26" s="20" t="str" cm="1">
        <f t="array" ref="S26">IF(S25&gt;0,_xlfn.SWITCH(R26,"月","火","火","水","水","木","木","金","金","土","土","日","日","月"),"")</f>
        <v/>
      </c>
      <c r="T26" s="20" t="str" cm="1">
        <f t="array" ref="T26">IF(T25&gt;0,_xlfn.SWITCH(S26,"月","火","火","水","水","木","木","金","金","土","土","日","日","月"),"")</f>
        <v/>
      </c>
      <c r="U26" s="20" t="str" cm="1">
        <f t="array" ref="U26">IF(U25&gt;0,_xlfn.SWITCH(T26,"月","火","火","水","水","木","木","金","金","土","土","日","日","月"),"")</f>
        <v/>
      </c>
      <c r="V26" s="20" t="str" cm="1">
        <f t="array" ref="V26">IF(V25&gt;0,_xlfn.SWITCH(U26,"月","火","火","水","水","木","木","金","金","土","土","日","日","月"),"")</f>
        <v/>
      </c>
      <c r="W26" s="20" t="str" cm="1">
        <f t="array" ref="W26">IF(W25&gt;0,_xlfn.SWITCH(V26,"月","火","火","水","水","木","木","金","金","土","土","日","日","月"),"")</f>
        <v/>
      </c>
      <c r="X26" s="20" t="str" cm="1">
        <f t="array" ref="X26">IF(X25&gt;0,_xlfn.SWITCH(W26,"月","火","火","水","水","木","木","金","金","土","土","日","日","月"),"")</f>
        <v/>
      </c>
      <c r="Y26" s="20" t="str" cm="1">
        <f t="array" ref="Y26">IF(Y25&gt;0,_xlfn.SWITCH(X26,"月","火","火","水","水","木","木","金","金","土","土","日","日","月"),"")</f>
        <v/>
      </c>
      <c r="Z26" s="20" t="str" cm="1">
        <f t="array" ref="Z26">IF(Z25&gt;0,_xlfn.SWITCH(Y26,"月","火","火","水","水","木","木","金","金","土","土","日","日","月"),"")</f>
        <v/>
      </c>
      <c r="AA26" s="20" t="str" cm="1">
        <f t="array" ref="AA26">IF(AA25&gt;0,_xlfn.SWITCH(Z26,"月","火","火","水","水","木","木","金","金","土","土","日","日","月"),"")</f>
        <v/>
      </c>
      <c r="AB26" s="20" t="str" cm="1">
        <f t="array" ref="AB26">IF(AB25&gt;0,_xlfn.SWITCH(AA26,"月","火","火","水","水","木","木","金","金","土","土","日","日","月"),"")</f>
        <v/>
      </c>
      <c r="AC26" s="20" t="str" cm="1">
        <f t="array" ref="AC26">IF(AC25&gt;0,_xlfn.SWITCH(AB26,"月","火","火","水","水","木","木","金","金","土","土","日","日","月"),"")</f>
        <v/>
      </c>
      <c r="AD26" s="20" t="str" cm="1">
        <f t="array" ref="AD26">IF(AD25&gt;0,_xlfn.SWITCH(AC26,"月","火","火","水","水","木","木","金","金","土","土","日","日","月"),"")</f>
        <v/>
      </c>
      <c r="AE26" s="20" t="str" cm="1">
        <f t="array" ref="AE26">IF(AE25&gt;0,_xlfn.SWITCH(AD26,"月","火","火","水","水","木","木","金","金","土","土","日","日","月"),"")</f>
        <v/>
      </c>
      <c r="AF26" s="28"/>
      <c r="AG26" s="7"/>
      <c r="AH26" s="11"/>
      <c r="AI26" s="7"/>
      <c r="AJ26" s="50" t="s">
        <v>12</v>
      </c>
      <c r="AK26" s="51"/>
      <c r="AL26" s="51"/>
      <c r="AM26" s="52"/>
      <c r="AN26" s="46"/>
      <c r="AO26" s="46"/>
    </row>
    <row r="27" spans="2:41" ht="24" x14ac:dyDescent="0.4">
      <c r="B27" s="40"/>
      <c r="C27" s="19" t="s">
        <v>0</v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31">
        <f>IF(AA6="",0,IF(_xlfn.DAYS(AI6,AA6)+1-84&gt;=28,28,IF(_xlfn.DAYS(AI6,AA6)+1-84&lt;0,0,_xlfn.DAYS(AI6,AA6)+1-84)))</f>
        <v>0</v>
      </c>
      <c r="AG27" s="33"/>
      <c r="AH27" s="53">
        <f>AF27-COUNTIF(D27:AE27,"×")</f>
        <v>0</v>
      </c>
      <c r="AI27" s="54"/>
      <c r="AJ27" s="31">
        <f>COUNTIF(D27:AE27,"●")</f>
        <v>0</v>
      </c>
      <c r="AK27" s="32"/>
      <c r="AL27" s="32"/>
      <c r="AM27" s="33"/>
      <c r="AN27" s="34" t="e">
        <f>AJ27/AH27</f>
        <v>#DIV/0!</v>
      </c>
      <c r="AO27" s="34"/>
    </row>
    <row r="28" spans="2:41" ht="24.75" thickBot="1" x14ac:dyDescent="0.45">
      <c r="B28" s="41"/>
      <c r="C28" s="21" t="s">
        <v>1</v>
      </c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35">
        <f>IF(AA6="",0,IF(_xlfn.DAYS(AI6,AA6)+1-84&gt;=28,28,IF(_xlfn.DAYS(AI6,AA6)+1-84&lt;0,0,_xlfn.DAYS(AI6,AA6)+1-84)))</f>
        <v>0</v>
      </c>
      <c r="AG28" s="36"/>
      <c r="AH28" s="35">
        <f>AF28-COUNTIF(D28:AE28,"×")</f>
        <v>0</v>
      </c>
      <c r="AI28" s="36"/>
      <c r="AJ28" s="35">
        <f>COUNTIF(D28:AE28,"●")</f>
        <v>0</v>
      </c>
      <c r="AK28" s="37"/>
      <c r="AL28" s="37"/>
      <c r="AM28" s="36"/>
      <c r="AN28" s="38" t="e">
        <f>AJ28/AH28</f>
        <v>#DIV/0!</v>
      </c>
      <c r="AO28" s="38"/>
    </row>
    <row r="29" spans="2:41" ht="24" x14ac:dyDescent="0.4">
      <c r="B29" s="39" t="s">
        <v>23</v>
      </c>
      <c r="C29" s="9" t="s">
        <v>15</v>
      </c>
      <c r="D29" s="20">
        <f>IF($AF$32-1&lt;0,,MONTH($AA$6+112))</f>
        <v>0</v>
      </c>
      <c r="E29" s="20">
        <f>IF($AF$32-2&lt;0,,MONTH($AA$6+113))</f>
        <v>0</v>
      </c>
      <c r="F29" s="20">
        <f>IF($AF$32-3&lt;0,,MONTH($AA$6+114))</f>
        <v>0</v>
      </c>
      <c r="G29" s="20">
        <f>IF($AF$32-4&lt;0,,MONTH($AA$6+115))</f>
        <v>0</v>
      </c>
      <c r="H29" s="20">
        <f>IF($AF$32-5&lt;0,,MONTH($AA$6+116))</f>
        <v>0</v>
      </c>
      <c r="I29" s="20">
        <f>IF($AF$32-6&lt;0,,MONTH($AA$6+117))</f>
        <v>0</v>
      </c>
      <c r="J29" s="20">
        <f>IF($AF$32-7&lt;0,,MONTH($AA$6+118))</f>
        <v>0</v>
      </c>
      <c r="K29" s="20">
        <f>IF($AF$32-8&lt;0,,MONTH($AA$6+119))</f>
        <v>0</v>
      </c>
      <c r="L29" s="20">
        <f>IF($AF$32-9&lt;0,,MONTH($AA$6+120))</f>
        <v>0</v>
      </c>
      <c r="M29" s="20">
        <f>IF($AF$32-10&lt;0,,MONTH($AA$6+121))</f>
        <v>0</v>
      </c>
      <c r="N29" s="20">
        <f>IF($AF$32-11&lt;0,,MONTH($AA$6+122))</f>
        <v>0</v>
      </c>
      <c r="O29" s="20">
        <f>IF($AF$32-12&lt;0,,MONTH($AA$6+123))</f>
        <v>0</v>
      </c>
      <c r="P29" s="20">
        <f>IF($AF$32-13&lt;0,,MONTH($AA$6+124))</f>
        <v>0</v>
      </c>
      <c r="Q29" s="20">
        <f>IF($AF$32-14&lt;0,,MONTH($AA$6+125))</f>
        <v>0</v>
      </c>
      <c r="R29" s="20">
        <f>IF($AF$32-15&lt;0,,MONTH($AA$6+126))</f>
        <v>0</v>
      </c>
      <c r="S29" s="20">
        <f>IF($AF$32-16&lt;0,,MONTH($AA$6+127))</f>
        <v>0</v>
      </c>
      <c r="T29" s="20">
        <f>IF($AF$32-17&lt;0,,MONTH($AA$6+128))</f>
        <v>0</v>
      </c>
      <c r="U29" s="20">
        <f>IF($AF$32-18&lt;0,,MONTH($AA$6+129))</f>
        <v>0</v>
      </c>
      <c r="V29" s="20">
        <f>IF($AF$32-19&lt;0,,MONTH($AA$6+130))</f>
        <v>0</v>
      </c>
      <c r="W29" s="20">
        <f>IF($AF$32-20&lt;0,,MONTH($AA$6+131))</f>
        <v>0</v>
      </c>
      <c r="X29" s="20">
        <f>IF($AF$32-21&lt;0,,MONTH($AA$6+132))</f>
        <v>0</v>
      </c>
      <c r="Y29" s="20">
        <f>IF($AF$32-22&lt;0,,MONTH($AA$6+133))</f>
        <v>0</v>
      </c>
      <c r="Z29" s="20">
        <f>IF($AF$32-23&lt;0,,MONTH($AA$6+134))</f>
        <v>0</v>
      </c>
      <c r="AA29" s="20">
        <f>IF($AF$32-24&lt;0,,MONTH($AA$6+135))</f>
        <v>0</v>
      </c>
      <c r="AB29" s="20">
        <f>IF($AF$32-25&lt;0,,MONTH($AA$6+136))</f>
        <v>0</v>
      </c>
      <c r="AC29" s="20">
        <f>IF($AF$32-26&lt;0,,MONTH($AA$6+137))</f>
        <v>0</v>
      </c>
      <c r="AD29" s="20">
        <f>IF($AF$32-27&lt;0,,MONTH($AA$6+138))</f>
        <v>0</v>
      </c>
      <c r="AE29" s="20">
        <f>IF($AF$32-28&lt;0,,MONTH($AA$6+139))</f>
        <v>0</v>
      </c>
      <c r="AF29" s="55" t="s">
        <v>39</v>
      </c>
      <c r="AG29" s="56"/>
      <c r="AH29" s="56"/>
      <c r="AI29" s="56"/>
      <c r="AJ29" s="56"/>
      <c r="AK29" s="56"/>
      <c r="AL29" s="56"/>
      <c r="AM29" s="57"/>
      <c r="AN29" s="45" t="s">
        <v>5</v>
      </c>
      <c r="AO29" s="45"/>
    </row>
    <row r="30" spans="2:41" ht="24" x14ac:dyDescent="0.4">
      <c r="B30" s="40"/>
      <c r="C30" s="20" t="s">
        <v>11</v>
      </c>
      <c r="D30" s="20">
        <f>IF($AF$32-1&lt;0,,DAY($AA$6+112))</f>
        <v>0</v>
      </c>
      <c r="E30" s="20">
        <f>IF($AF$32-2&lt;0,,DAY($AA$6+113))</f>
        <v>0</v>
      </c>
      <c r="F30" s="20">
        <f>IF($AF$32-3&lt;0,,DAY($AA$6+114))</f>
        <v>0</v>
      </c>
      <c r="G30" s="20">
        <f>IF($AF$32-4&lt;0,,DAY($AA$6+115))</f>
        <v>0</v>
      </c>
      <c r="H30" s="20">
        <f>IF($AF$32-5&lt;0,,DAY($AA$6+116))</f>
        <v>0</v>
      </c>
      <c r="I30" s="20">
        <f>IF($AF$32-6&lt;0,,DAY($AA$6+117))</f>
        <v>0</v>
      </c>
      <c r="J30" s="20">
        <f>IF($AF$32-7&lt;0,,DAY($AA$6+118))</f>
        <v>0</v>
      </c>
      <c r="K30" s="20">
        <f>IF($AF$32-8&lt;0,,DAY($AA$6+119))</f>
        <v>0</v>
      </c>
      <c r="L30" s="20">
        <f>IF($AF$32-9&lt;0,,DAY($AA$6+120))</f>
        <v>0</v>
      </c>
      <c r="M30" s="20">
        <f>IF($AF$32-10&lt;0,,DAY($AA$6+121))</f>
        <v>0</v>
      </c>
      <c r="N30" s="20">
        <f>IF($AF$32-11&lt;0,,DAY($AA$6+122))</f>
        <v>0</v>
      </c>
      <c r="O30" s="20">
        <f>IF($AF$32-12&lt;0,,DAY($AA$6+123))</f>
        <v>0</v>
      </c>
      <c r="P30" s="20">
        <f>IF($AF$32-13&lt;0,,DAY($AA$6+124))</f>
        <v>0</v>
      </c>
      <c r="Q30" s="20">
        <f>IF($AF$32-14&lt;0,,DAY($AA$6+125))</f>
        <v>0</v>
      </c>
      <c r="R30" s="20">
        <f>IF($AF$32-15&lt;0,,DAY($AA$6+126))</f>
        <v>0</v>
      </c>
      <c r="S30" s="20">
        <f>IF($AF$32-16&lt;0,,DAY($AA$6+127))</f>
        <v>0</v>
      </c>
      <c r="T30" s="20">
        <f>IF($AF$32-17&lt;0,,DAY($AA$6+128))</f>
        <v>0</v>
      </c>
      <c r="U30" s="20">
        <f>IF($AF$32-18&lt;0,,DAY($AA$6+129))</f>
        <v>0</v>
      </c>
      <c r="V30" s="20">
        <f>IF($AF$32-19&lt;0,,DAY($AA$6+130))</f>
        <v>0</v>
      </c>
      <c r="W30" s="20">
        <f>IF($AF$32-20&lt;0,,DAY($AA$6+131))</f>
        <v>0</v>
      </c>
      <c r="X30" s="20">
        <f>IF($AF$32-21&lt;0,,DAY($AA$6+132))</f>
        <v>0</v>
      </c>
      <c r="Y30" s="20">
        <f>IF($AF$32-22&lt;0,,DAY($AA$6+133))</f>
        <v>0</v>
      </c>
      <c r="Z30" s="20">
        <f>IF($AF$32-23&lt;0,,DAY($AA$6+134))</f>
        <v>0</v>
      </c>
      <c r="AA30" s="20">
        <f>IF($AF$32-24&lt;0,,DAY($AA$6+135))</f>
        <v>0</v>
      </c>
      <c r="AB30" s="20">
        <f>IF($AF$32-25&lt;0,,DAY($AA$6+136))</f>
        <v>0</v>
      </c>
      <c r="AC30" s="20">
        <f>IF($AF$32-26&lt;0,,DAY($AA$6+137))</f>
        <v>0</v>
      </c>
      <c r="AD30" s="20">
        <f>IF($AF$32-27&lt;0,,DAY($AA$6+138))</f>
        <v>0</v>
      </c>
      <c r="AE30" s="20">
        <f>IF($AF$32-28&lt;0,,DAY($AA$6+139))</f>
        <v>0</v>
      </c>
      <c r="AF30" s="26"/>
      <c r="AG30" s="27"/>
      <c r="AH30" s="47" t="s">
        <v>14</v>
      </c>
      <c r="AI30" s="48"/>
      <c r="AJ30" s="48"/>
      <c r="AK30" s="48"/>
      <c r="AL30" s="48"/>
      <c r="AM30" s="49"/>
      <c r="AN30" s="46"/>
      <c r="AO30" s="46"/>
    </row>
    <row r="31" spans="2:41" ht="24" x14ac:dyDescent="0.4">
      <c r="B31" s="40"/>
      <c r="C31" s="20" t="s">
        <v>16</v>
      </c>
      <c r="D31" s="20" t="str" cm="1">
        <f t="array" ref="D31">IF(D30&gt;0,_xlfn.SWITCH(AE26,"月","火","火","水","水","木","木","金","金","土","土","日","日","月"),"")</f>
        <v/>
      </c>
      <c r="E31" s="20" t="str" cm="1">
        <f t="array" ref="E31">IF(E30&gt;0,_xlfn.SWITCH(D31,"月","火","火","水","水","木","木","金","金","土","土","日","日","月"),"")</f>
        <v/>
      </c>
      <c r="F31" s="20" t="str" cm="1">
        <f t="array" ref="F31">IF(F30&gt;0,_xlfn.SWITCH(E31,"月","火","火","水","水","木","木","金","金","土","土","日","日","月"),"")</f>
        <v/>
      </c>
      <c r="G31" s="20" t="str" cm="1">
        <f t="array" ref="G31">IF(G30&gt;0,_xlfn.SWITCH(F31,"月","火","火","水","水","木","木","金","金","土","土","日","日","月"),"")</f>
        <v/>
      </c>
      <c r="H31" s="20" t="str" cm="1">
        <f t="array" ref="H31">IF(H30&gt;0,_xlfn.SWITCH(G31,"月","火","火","水","水","木","木","金","金","土","土","日","日","月"),"")</f>
        <v/>
      </c>
      <c r="I31" s="20" t="str" cm="1">
        <f t="array" ref="I31">IF(I30&gt;0,_xlfn.SWITCH(H31,"月","火","火","水","水","木","木","金","金","土","土","日","日","月"),"")</f>
        <v/>
      </c>
      <c r="J31" s="20" t="str" cm="1">
        <f t="array" ref="J31">IF(J30&gt;0,_xlfn.SWITCH(I31,"月","火","火","水","水","木","木","金","金","土","土","日","日","月"),"")</f>
        <v/>
      </c>
      <c r="K31" s="20" t="str" cm="1">
        <f t="array" ref="K31">IF(K30&gt;0,_xlfn.SWITCH(J31,"月","火","火","水","水","木","木","金","金","土","土","日","日","月"),"")</f>
        <v/>
      </c>
      <c r="L31" s="20" t="str" cm="1">
        <f t="array" ref="L31">IF(L30&gt;0,_xlfn.SWITCH(K31,"月","火","火","水","水","木","木","金","金","土","土","日","日","月"),"")</f>
        <v/>
      </c>
      <c r="M31" s="20" t="str" cm="1">
        <f t="array" ref="M31">IF(M30&gt;0,_xlfn.SWITCH(L31,"月","火","火","水","水","木","木","金","金","土","土","日","日","月"),"")</f>
        <v/>
      </c>
      <c r="N31" s="20" t="str" cm="1">
        <f t="array" ref="N31">IF(N30&gt;0,_xlfn.SWITCH(M31,"月","火","火","水","水","木","木","金","金","土","土","日","日","月"),"")</f>
        <v/>
      </c>
      <c r="O31" s="20" t="str" cm="1">
        <f t="array" ref="O31">IF(O30&gt;0,_xlfn.SWITCH(N31,"月","火","火","水","水","木","木","金","金","土","土","日","日","月"),"")</f>
        <v/>
      </c>
      <c r="P31" s="20" t="str" cm="1">
        <f t="array" ref="P31">IF(P30&gt;0,_xlfn.SWITCH(O31,"月","火","火","水","水","木","木","金","金","土","土","日","日","月"),"")</f>
        <v/>
      </c>
      <c r="Q31" s="20" t="str" cm="1">
        <f t="array" ref="Q31">IF(Q30&gt;0,_xlfn.SWITCH(P31,"月","火","火","水","水","木","木","金","金","土","土","日","日","月"),"")</f>
        <v/>
      </c>
      <c r="R31" s="20" t="str" cm="1">
        <f t="array" ref="R31">IF(R30&gt;0,_xlfn.SWITCH(Q31,"月","火","火","水","水","木","木","金","金","土","土","日","日","月"),"")</f>
        <v/>
      </c>
      <c r="S31" s="20" t="str" cm="1">
        <f t="array" ref="S31">IF(S30&gt;0,_xlfn.SWITCH(R31,"月","火","火","水","水","木","木","金","金","土","土","日","日","月"),"")</f>
        <v/>
      </c>
      <c r="T31" s="20" t="str" cm="1">
        <f t="array" ref="T31">IF(T30&gt;0,_xlfn.SWITCH(S31,"月","火","火","水","水","木","木","金","金","土","土","日","日","月"),"")</f>
        <v/>
      </c>
      <c r="U31" s="20" t="str" cm="1">
        <f t="array" ref="U31">IF(U30&gt;0,_xlfn.SWITCH(T31,"月","火","火","水","水","木","木","金","金","土","土","日","日","月"),"")</f>
        <v/>
      </c>
      <c r="V31" s="20" t="str" cm="1">
        <f t="array" ref="V31">IF(V30&gt;0,_xlfn.SWITCH(U31,"月","火","火","水","水","木","木","金","金","土","土","日","日","月"),"")</f>
        <v/>
      </c>
      <c r="W31" s="20" t="str" cm="1">
        <f t="array" ref="W31">IF(W30&gt;0,_xlfn.SWITCH(V31,"月","火","火","水","水","木","木","金","金","土","土","日","日","月"),"")</f>
        <v/>
      </c>
      <c r="X31" s="20" t="str" cm="1">
        <f t="array" ref="X31">IF(X30&gt;0,_xlfn.SWITCH(W31,"月","火","火","水","水","木","木","金","金","土","土","日","日","月"),"")</f>
        <v/>
      </c>
      <c r="Y31" s="20" t="str" cm="1">
        <f t="array" ref="Y31">IF(Y30&gt;0,_xlfn.SWITCH(X31,"月","火","火","水","水","木","木","金","金","土","土","日","日","月"),"")</f>
        <v/>
      </c>
      <c r="Z31" s="20" t="str" cm="1">
        <f t="array" ref="Z31">IF(Z30&gt;0,_xlfn.SWITCH(Y31,"月","火","火","水","水","木","木","金","金","土","土","日","日","月"),"")</f>
        <v/>
      </c>
      <c r="AA31" s="20" t="str" cm="1">
        <f t="array" ref="AA31">IF(AA30&gt;0,_xlfn.SWITCH(Z31,"月","火","火","水","水","木","木","金","金","土","土","日","日","月"),"")</f>
        <v/>
      </c>
      <c r="AB31" s="20" t="str" cm="1">
        <f t="array" ref="AB31">IF(AB30&gt;0,_xlfn.SWITCH(AA31,"月","火","火","水","水","木","木","金","金","土","土","日","日","月"),"")</f>
        <v/>
      </c>
      <c r="AC31" s="20" t="str" cm="1">
        <f t="array" ref="AC31">IF(AC30&gt;0,_xlfn.SWITCH(AB31,"月","火","火","水","水","木","木","金","金","土","土","日","日","月"),"")</f>
        <v/>
      </c>
      <c r="AD31" s="20" t="str" cm="1">
        <f t="array" ref="AD31">IF(AD30&gt;0,_xlfn.SWITCH(AC31,"月","火","火","水","水","木","木","金","金","土","土","日","日","月"),"")</f>
        <v/>
      </c>
      <c r="AE31" s="20" t="str" cm="1">
        <f t="array" ref="AE31">IF(AE30&gt;0,_xlfn.SWITCH(AD31,"月","火","火","水","水","木","木","金","金","土","土","日","日","月"),"")</f>
        <v/>
      </c>
      <c r="AF31" s="28"/>
      <c r="AG31" s="7"/>
      <c r="AH31" s="11"/>
      <c r="AI31" s="7"/>
      <c r="AJ31" s="50" t="s">
        <v>12</v>
      </c>
      <c r="AK31" s="51"/>
      <c r="AL31" s="51"/>
      <c r="AM31" s="52"/>
      <c r="AN31" s="46"/>
      <c r="AO31" s="46"/>
    </row>
    <row r="32" spans="2:41" ht="24" x14ac:dyDescent="0.4">
      <c r="B32" s="40"/>
      <c r="C32" s="19" t="s">
        <v>0</v>
      </c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31">
        <f>IF(AA6="",0,IF(_xlfn.DAYS(AI6,AA6)+1-112&gt;=28,28,IF(_xlfn.DAYS(AI6,AA6)+1-112&lt;0,0,_xlfn.DAYS(AI6,AA6)+1-112)))</f>
        <v>0</v>
      </c>
      <c r="AG32" s="33"/>
      <c r="AH32" s="53">
        <f>AF32-COUNTIF(D32:AE32,"×")</f>
        <v>0</v>
      </c>
      <c r="AI32" s="54"/>
      <c r="AJ32" s="31">
        <f>COUNTIF(D32:AE32,"●")</f>
        <v>0</v>
      </c>
      <c r="AK32" s="32"/>
      <c r="AL32" s="32"/>
      <c r="AM32" s="33"/>
      <c r="AN32" s="34" t="e">
        <f>AJ32/AH32</f>
        <v>#DIV/0!</v>
      </c>
      <c r="AO32" s="34"/>
    </row>
    <row r="33" spans="2:41" ht="24.75" thickBot="1" x14ac:dyDescent="0.45">
      <c r="B33" s="41"/>
      <c r="C33" s="21" t="s">
        <v>1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35">
        <f>IF(AA6="",0,IF(_xlfn.DAYS(AI6,AA6)+1-112&gt;=28,28,IF(_xlfn.DAYS(AI6,AA6)+1-112&lt;0,0,_xlfn.DAYS(AI6,AA6)+1-112)))</f>
        <v>0</v>
      </c>
      <c r="AG33" s="36"/>
      <c r="AH33" s="35">
        <f>AF33-COUNTIF(D33:AE33,"×")</f>
        <v>0</v>
      </c>
      <c r="AI33" s="36"/>
      <c r="AJ33" s="35">
        <f>COUNTIF(D33:AE33,"●")</f>
        <v>0</v>
      </c>
      <c r="AK33" s="37"/>
      <c r="AL33" s="37"/>
      <c r="AM33" s="36"/>
      <c r="AN33" s="38" t="e">
        <f>AJ33/AH33</f>
        <v>#DIV/0!</v>
      </c>
      <c r="AO33" s="38"/>
    </row>
    <row r="34" spans="2:41" ht="24" x14ac:dyDescent="0.4">
      <c r="B34" s="40" t="s">
        <v>24</v>
      </c>
      <c r="C34" s="23" t="s">
        <v>15</v>
      </c>
      <c r="D34" s="20">
        <f>IF($AF$37-1&lt;0,,MONTH($AA$6+140))</f>
        <v>0</v>
      </c>
      <c r="E34" s="20">
        <f>IF($AF$37-2&lt;0,,MONTH($AA$6+141))</f>
        <v>0</v>
      </c>
      <c r="F34" s="20">
        <f>IF($AF$37-3&lt;0,,MONTH($AA$6+142))</f>
        <v>0</v>
      </c>
      <c r="G34" s="20">
        <f>IF($AF$37-4&lt;0,,MONTH($AA$6+143))</f>
        <v>0</v>
      </c>
      <c r="H34" s="20">
        <f>IF($AF$37-5&lt;0,,MONTH($AA$6+144))</f>
        <v>0</v>
      </c>
      <c r="I34" s="20">
        <f>IF($AF$37-6&lt;0,,MONTH($AA$6+145))</f>
        <v>0</v>
      </c>
      <c r="J34" s="20">
        <f>IF($AF$37-7&lt;0,,MONTH($AA$6+146))</f>
        <v>0</v>
      </c>
      <c r="K34" s="20">
        <f>IF($AF$37-8&lt;0,,MONTH($AA$6+147))</f>
        <v>0</v>
      </c>
      <c r="L34" s="20">
        <f>IF($AF$37-9&lt;0,,MONTH($AA$6+148))</f>
        <v>0</v>
      </c>
      <c r="M34" s="20">
        <f>IF($AF$37-10&lt;0,,MONTH($AA$6+149))</f>
        <v>0</v>
      </c>
      <c r="N34" s="20">
        <f>IF($AF$37-11&lt;0,,MONTH($AA$6+150))</f>
        <v>0</v>
      </c>
      <c r="O34" s="20">
        <f>IF($AF$37-12&lt;0,,MONTH($AA$6+151))</f>
        <v>0</v>
      </c>
      <c r="P34" s="20">
        <f>IF($AF$37-13&lt;0,,MONTH($AA$6+152))</f>
        <v>0</v>
      </c>
      <c r="Q34" s="20">
        <f>IF($AF$37-14&lt;0,,MONTH($AA$6+153))</f>
        <v>0</v>
      </c>
      <c r="R34" s="20">
        <f>IF($AF$37-15&lt;0,,MONTH($AA$6+154))</f>
        <v>0</v>
      </c>
      <c r="S34" s="20">
        <f>IF($AF$37-16&lt;0,,MONTH($AA$6+155))</f>
        <v>0</v>
      </c>
      <c r="T34" s="20">
        <f>IF($AF$37-17&lt;0,,MONTH($AA$6+156))</f>
        <v>0</v>
      </c>
      <c r="U34" s="20">
        <f>IF($AF$37-18&lt;0,,MONTH($AA$6+157))</f>
        <v>0</v>
      </c>
      <c r="V34" s="20">
        <f>IF($AF$37-19&lt;0,,MONTH($AA$6+158))</f>
        <v>0</v>
      </c>
      <c r="W34" s="20">
        <f>IF($AF$37-20&lt;0,,MONTH($AA$6+159))</f>
        <v>0</v>
      </c>
      <c r="X34" s="20">
        <f>IF($AF$37-21&lt;0,,MONTH($AA$6+160))</f>
        <v>0</v>
      </c>
      <c r="Y34" s="20">
        <f>IF($AF$37-22&lt;0,,MONTH($AA$6+161))</f>
        <v>0</v>
      </c>
      <c r="Z34" s="20">
        <f>IF($AF$37-23&lt;0,,MONTH($AA$6+162))</f>
        <v>0</v>
      </c>
      <c r="AA34" s="20">
        <f>IF($AF$37-24&lt;0,,MONTH($AA$6+163))</f>
        <v>0</v>
      </c>
      <c r="AB34" s="20">
        <f>IF($AF$37-25&lt;0,,MONTH($AA$6+164))</f>
        <v>0</v>
      </c>
      <c r="AC34" s="20">
        <f>IF($AF$37-26&lt;0,,MONTH($AA$6+165))</f>
        <v>0</v>
      </c>
      <c r="AD34" s="20">
        <f>IF($AF$37-27&lt;0,,MONTH($AA$6+166))</f>
        <v>0</v>
      </c>
      <c r="AE34" s="20">
        <f>IF($AF$37-28&lt;0,,MONTH($AA$6+167))</f>
        <v>0</v>
      </c>
      <c r="AF34" s="55" t="s">
        <v>39</v>
      </c>
      <c r="AG34" s="56"/>
      <c r="AH34" s="56"/>
      <c r="AI34" s="56"/>
      <c r="AJ34" s="56"/>
      <c r="AK34" s="56"/>
      <c r="AL34" s="56"/>
      <c r="AM34" s="57"/>
      <c r="AN34" s="58" t="s">
        <v>5</v>
      </c>
      <c r="AO34" s="58"/>
    </row>
    <row r="35" spans="2:41" ht="24" x14ac:dyDescent="0.4">
      <c r="B35" s="40"/>
      <c r="C35" s="20" t="s">
        <v>11</v>
      </c>
      <c r="D35" s="20">
        <f>IF($AF$37-1&lt;0,,DAY($AA$6+140))</f>
        <v>0</v>
      </c>
      <c r="E35" s="20">
        <f>IF($AF$37-2&lt;0,,DAY($AA$6+141))</f>
        <v>0</v>
      </c>
      <c r="F35" s="20">
        <f>IF($AF$37-3&lt;0,,DAY($AA$6+142))</f>
        <v>0</v>
      </c>
      <c r="G35" s="20">
        <f>IF($AF$37-4&lt;0,,DAY($AA$6+143))</f>
        <v>0</v>
      </c>
      <c r="H35" s="20">
        <f>IF($AF$37-5&lt;0,,DAY($AA$6+144))</f>
        <v>0</v>
      </c>
      <c r="I35" s="20">
        <f>IF($AF$37-6&lt;0,,DAY($AA$6+145))</f>
        <v>0</v>
      </c>
      <c r="J35" s="20">
        <f>IF($AF$37-7&lt;0,,DAY($AA$6+146))</f>
        <v>0</v>
      </c>
      <c r="K35" s="20">
        <f>IF($AF$37-8&lt;0,,DAY($AA$6+147))</f>
        <v>0</v>
      </c>
      <c r="L35" s="20">
        <f>IF($AF$37-9&lt;0,,DAY($AA$6+148))</f>
        <v>0</v>
      </c>
      <c r="M35" s="20">
        <f>IF($AF$37-10&lt;0,,DAY($AA$6+149))</f>
        <v>0</v>
      </c>
      <c r="N35" s="20">
        <f>IF($AF$37-11&lt;0,,DAY($AA$6+150))</f>
        <v>0</v>
      </c>
      <c r="O35" s="20">
        <f>IF($AF$37-12&lt;0,,DAY($AA$6+151))</f>
        <v>0</v>
      </c>
      <c r="P35" s="20">
        <f>IF($AF$37-13&lt;0,,DAY($AA$6+152))</f>
        <v>0</v>
      </c>
      <c r="Q35" s="20">
        <f>IF($AF$37-14&lt;0,,DAY($AA$6+153))</f>
        <v>0</v>
      </c>
      <c r="R35" s="20">
        <f>IF($AF$37-15&lt;0,,DAY($AA$6+154))</f>
        <v>0</v>
      </c>
      <c r="S35" s="20">
        <f>IF($AF$37-16&lt;0,,DAY($AA$6+155))</f>
        <v>0</v>
      </c>
      <c r="T35" s="20">
        <f>IF($AF$37-17&lt;0,,DAY($AA$6+156))</f>
        <v>0</v>
      </c>
      <c r="U35" s="20">
        <f>IF($AF$37-18&lt;0,,DAY($AA$6+157))</f>
        <v>0</v>
      </c>
      <c r="V35" s="20">
        <f>IF($AF$37-19&lt;0,,DAY($AA$6+158))</f>
        <v>0</v>
      </c>
      <c r="W35" s="20">
        <f>IF($AF$37-20&lt;0,,DAY($AA$6+159))</f>
        <v>0</v>
      </c>
      <c r="X35" s="20">
        <f>IF($AF$37-21&lt;0,,DAY($AA$6+160))</f>
        <v>0</v>
      </c>
      <c r="Y35" s="20">
        <f>IF($AF$37-22&lt;0,,DAY($AA$6+161))</f>
        <v>0</v>
      </c>
      <c r="Z35" s="20">
        <f>IF($AF$37-23&lt;0,,DAY($AA$6+162))</f>
        <v>0</v>
      </c>
      <c r="AA35" s="20">
        <f>IF($AF$37-24&lt;0,,DAY($AA$6+163))</f>
        <v>0</v>
      </c>
      <c r="AB35" s="20">
        <f>IF($AF$37-25&lt;0,,DAY($AA$6+164))</f>
        <v>0</v>
      </c>
      <c r="AC35" s="20">
        <f>IF($AF$37-26&lt;0,,DAY($AA$6+165))</f>
        <v>0</v>
      </c>
      <c r="AD35" s="20">
        <f>IF($AF$37-27&lt;0,,DAY($AA$6+166))</f>
        <v>0</v>
      </c>
      <c r="AE35" s="20">
        <f>IF($AF$37-28&lt;0,,DAY($AA$6+167))</f>
        <v>0</v>
      </c>
      <c r="AF35" s="26"/>
      <c r="AG35" s="27"/>
      <c r="AH35" s="47" t="s">
        <v>14</v>
      </c>
      <c r="AI35" s="48"/>
      <c r="AJ35" s="48"/>
      <c r="AK35" s="48"/>
      <c r="AL35" s="48"/>
      <c r="AM35" s="49"/>
      <c r="AN35" s="46"/>
      <c r="AO35" s="46"/>
    </row>
    <row r="36" spans="2:41" ht="24" x14ac:dyDescent="0.4">
      <c r="B36" s="40"/>
      <c r="C36" s="20" t="s">
        <v>16</v>
      </c>
      <c r="D36" s="20" t="str" cm="1">
        <f t="array" ref="D36">IF(D35&gt;0,_xlfn.SWITCH(AE31,"月","火","火","水","水","木","木","金","金","土","土","日","日","月"),"")</f>
        <v/>
      </c>
      <c r="E36" s="20" t="str" cm="1">
        <f t="array" ref="E36">IF(E35&gt;0,_xlfn.SWITCH(D36,"月","火","火","水","水","木","木","金","金","土","土","日","日","月"),"")</f>
        <v/>
      </c>
      <c r="F36" s="20" t="str" cm="1">
        <f t="array" ref="F36">IF(F35&gt;0,_xlfn.SWITCH(E36,"月","火","火","水","水","木","木","金","金","土","土","日","日","月"),"")</f>
        <v/>
      </c>
      <c r="G36" s="20" t="str" cm="1">
        <f t="array" ref="G36">IF(G35&gt;0,_xlfn.SWITCH(F36,"月","火","火","水","水","木","木","金","金","土","土","日","日","月"),"")</f>
        <v/>
      </c>
      <c r="H36" s="20" t="str" cm="1">
        <f t="array" ref="H36">IF(H35&gt;0,_xlfn.SWITCH(G36,"月","火","火","水","水","木","木","金","金","土","土","日","日","月"),"")</f>
        <v/>
      </c>
      <c r="I36" s="20" t="str" cm="1">
        <f t="array" ref="I36">IF(I35&gt;0,_xlfn.SWITCH(H36,"月","火","火","水","水","木","木","金","金","土","土","日","日","月"),"")</f>
        <v/>
      </c>
      <c r="J36" s="20" t="str" cm="1">
        <f t="array" ref="J36">IF(J35&gt;0,_xlfn.SWITCH(I36,"月","火","火","水","水","木","木","金","金","土","土","日","日","月"),"")</f>
        <v/>
      </c>
      <c r="K36" s="20" t="str" cm="1">
        <f t="array" ref="K36">IF(K35&gt;0,_xlfn.SWITCH(J36,"月","火","火","水","水","木","木","金","金","土","土","日","日","月"),"")</f>
        <v/>
      </c>
      <c r="L36" s="20" t="str" cm="1">
        <f t="array" ref="L36">IF(L35&gt;0,_xlfn.SWITCH(K36,"月","火","火","水","水","木","木","金","金","土","土","日","日","月"),"")</f>
        <v/>
      </c>
      <c r="M36" s="20" t="str" cm="1">
        <f t="array" ref="M36">IF(M35&gt;0,_xlfn.SWITCH(L36,"月","火","火","水","水","木","木","金","金","土","土","日","日","月"),"")</f>
        <v/>
      </c>
      <c r="N36" s="20" t="str" cm="1">
        <f t="array" ref="N36">IF(N35&gt;0,_xlfn.SWITCH(M36,"月","火","火","水","水","木","木","金","金","土","土","日","日","月"),"")</f>
        <v/>
      </c>
      <c r="O36" s="20" t="str" cm="1">
        <f t="array" ref="O36">IF(O35&gt;0,_xlfn.SWITCH(N36,"月","火","火","水","水","木","木","金","金","土","土","日","日","月"),"")</f>
        <v/>
      </c>
      <c r="P36" s="20" t="str" cm="1">
        <f t="array" ref="P36">IF(P35&gt;0,_xlfn.SWITCH(O36,"月","火","火","水","水","木","木","金","金","土","土","日","日","月"),"")</f>
        <v/>
      </c>
      <c r="Q36" s="20" t="str" cm="1">
        <f t="array" ref="Q36">IF(Q35&gt;0,_xlfn.SWITCH(P36,"月","火","火","水","水","木","木","金","金","土","土","日","日","月"),"")</f>
        <v/>
      </c>
      <c r="R36" s="20" t="str" cm="1">
        <f t="array" ref="R36">IF(R35&gt;0,_xlfn.SWITCH(Q36,"月","火","火","水","水","木","木","金","金","土","土","日","日","月"),"")</f>
        <v/>
      </c>
      <c r="S36" s="20" t="str" cm="1">
        <f t="array" ref="S36">IF(S35&gt;0,_xlfn.SWITCH(R36,"月","火","火","水","水","木","木","金","金","土","土","日","日","月"),"")</f>
        <v/>
      </c>
      <c r="T36" s="20" t="str" cm="1">
        <f t="array" ref="T36">IF(T35&gt;0,_xlfn.SWITCH(S36,"月","火","火","水","水","木","木","金","金","土","土","日","日","月"),"")</f>
        <v/>
      </c>
      <c r="U36" s="20" t="str" cm="1">
        <f t="array" ref="U36">IF(U35&gt;0,_xlfn.SWITCH(T36,"月","火","火","水","水","木","木","金","金","土","土","日","日","月"),"")</f>
        <v/>
      </c>
      <c r="V36" s="20" t="str" cm="1">
        <f t="array" ref="V36">IF(V35&gt;0,_xlfn.SWITCH(U36,"月","火","火","水","水","木","木","金","金","土","土","日","日","月"),"")</f>
        <v/>
      </c>
      <c r="W36" s="20" t="str" cm="1">
        <f t="array" ref="W36">IF(W35&gt;0,_xlfn.SWITCH(V36,"月","火","火","水","水","木","木","金","金","土","土","日","日","月"),"")</f>
        <v/>
      </c>
      <c r="X36" s="20" t="str" cm="1">
        <f t="array" ref="X36">IF(X35&gt;0,_xlfn.SWITCH(W36,"月","火","火","水","水","木","木","金","金","土","土","日","日","月"),"")</f>
        <v/>
      </c>
      <c r="Y36" s="20" t="str" cm="1">
        <f t="array" ref="Y36">IF(Y35&gt;0,_xlfn.SWITCH(X36,"月","火","火","水","水","木","木","金","金","土","土","日","日","月"),"")</f>
        <v/>
      </c>
      <c r="Z36" s="20" t="str" cm="1">
        <f t="array" ref="Z36">IF(Z35&gt;0,_xlfn.SWITCH(Y36,"月","火","火","水","水","木","木","金","金","土","土","日","日","月"),"")</f>
        <v/>
      </c>
      <c r="AA36" s="20" t="str" cm="1">
        <f t="array" ref="AA36">IF(AA35&gt;0,_xlfn.SWITCH(Z36,"月","火","火","水","水","木","木","金","金","土","土","日","日","月"),"")</f>
        <v/>
      </c>
      <c r="AB36" s="20" t="str" cm="1">
        <f t="array" ref="AB36">IF(AB35&gt;0,_xlfn.SWITCH(AA36,"月","火","火","水","水","木","木","金","金","土","土","日","日","月"),"")</f>
        <v/>
      </c>
      <c r="AC36" s="20" t="str" cm="1">
        <f t="array" ref="AC36">IF(AC35&gt;0,_xlfn.SWITCH(AB36,"月","火","火","水","水","木","木","金","金","土","土","日","日","月"),"")</f>
        <v/>
      </c>
      <c r="AD36" s="20" t="str" cm="1">
        <f t="array" ref="AD36">IF(AD35&gt;0,_xlfn.SWITCH(AC36,"月","火","火","水","水","木","木","金","金","土","土","日","日","月"),"")</f>
        <v/>
      </c>
      <c r="AE36" s="20" t="str" cm="1">
        <f t="array" ref="AE36">IF(AE35&gt;0,_xlfn.SWITCH(AD36,"月","火","火","水","水","木","木","金","金","土","土","日","日","月"),"")</f>
        <v/>
      </c>
      <c r="AF36" s="28"/>
      <c r="AG36" s="7"/>
      <c r="AH36" s="11"/>
      <c r="AI36" s="7"/>
      <c r="AJ36" s="50" t="s">
        <v>12</v>
      </c>
      <c r="AK36" s="51"/>
      <c r="AL36" s="51"/>
      <c r="AM36" s="52"/>
      <c r="AN36" s="46"/>
      <c r="AO36" s="46"/>
    </row>
    <row r="37" spans="2:41" ht="24" x14ac:dyDescent="0.4">
      <c r="B37" s="40"/>
      <c r="C37" s="19" t="s">
        <v>0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31">
        <f>IF(AA6="",0,IF(_xlfn.DAYS(AI6,AA6)+1-140&gt;=28,28,IF(_xlfn.DAYS(AI6,AA6)+1-140&lt;0,0,_xlfn.DAYS(AI6,AA6)+1-140)))</f>
        <v>0</v>
      </c>
      <c r="AG37" s="33"/>
      <c r="AH37" s="53">
        <f>AF37-COUNTIF(D37:AE37,"×")</f>
        <v>0</v>
      </c>
      <c r="AI37" s="54"/>
      <c r="AJ37" s="31">
        <f>COUNTIF(D37:AE37,"●")</f>
        <v>0</v>
      </c>
      <c r="AK37" s="32"/>
      <c r="AL37" s="32"/>
      <c r="AM37" s="33"/>
      <c r="AN37" s="34" t="e">
        <f>AJ37/AH37</f>
        <v>#DIV/0!</v>
      </c>
      <c r="AO37" s="34"/>
    </row>
    <row r="38" spans="2:41" ht="24.75" thickBot="1" x14ac:dyDescent="0.45">
      <c r="B38" s="41"/>
      <c r="C38" s="21" t="s">
        <v>1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35">
        <f>IF(AA6="",0,IF(_xlfn.DAYS(AI6,AA6)+1-140&gt;=28,28,IF(_xlfn.DAYS(AI6,AA6)+1-140&lt;0,0,_xlfn.DAYS(AI6,AA6)+1-140)))</f>
        <v>0</v>
      </c>
      <c r="AG38" s="36"/>
      <c r="AH38" s="35">
        <f>AF38-COUNTIF(D38:AE38,"×")</f>
        <v>0</v>
      </c>
      <c r="AI38" s="36"/>
      <c r="AJ38" s="35">
        <f>COUNTIF(D38:AE38,"●")</f>
        <v>0</v>
      </c>
      <c r="AK38" s="37"/>
      <c r="AL38" s="37"/>
      <c r="AM38" s="36"/>
      <c r="AN38" s="38" t="e">
        <f>AJ38/AH38</f>
        <v>#DIV/0!</v>
      </c>
      <c r="AO38" s="38"/>
    </row>
    <row r="39" spans="2:41" ht="24" x14ac:dyDescent="0.4">
      <c r="B39" s="40" t="s">
        <v>25</v>
      </c>
      <c r="C39" s="23" t="s">
        <v>15</v>
      </c>
      <c r="D39" s="20">
        <f>IF($AF$42-1&lt;0,,MONTH($AA$6+168))</f>
        <v>0</v>
      </c>
      <c r="E39" s="20">
        <f>IF($AF$42-2&lt;0,,MONTH($AA$6+169))</f>
        <v>0</v>
      </c>
      <c r="F39" s="20">
        <f>IF($AF$42-3&lt;0,,MONTH($AA$6+170))</f>
        <v>0</v>
      </c>
      <c r="G39" s="20">
        <f>IF($AF$42-4&lt;0,,MONTH($AA$6+171))</f>
        <v>0</v>
      </c>
      <c r="H39" s="20">
        <f>IF($AF$42-5&lt;0,,MONTH($AA$6+172))</f>
        <v>0</v>
      </c>
      <c r="I39" s="20">
        <f>IF($AF$42-6&lt;0,,MONTH($AA$6+173))</f>
        <v>0</v>
      </c>
      <c r="J39" s="20">
        <f>IF($AF$42-7&lt;0,,MONTH($AA$6+174))</f>
        <v>0</v>
      </c>
      <c r="K39" s="20">
        <f>IF($AF$42-8&lt;0,,MONTH($AA$6+175))</f>
        <v>0</v>
      </c>
      <c r="L39" s="20">
        <f>IF($AF$42-9&lt;0,,MONTH($AA$6+176))</f>
        <v>0</v>
      </c>
      <c r="M39" s="20">
        <f>IF($AF$42-10&lt;0,,MONTH($AA$6+177))</f>
        <v>0</v>
      </c>
      <c r="N39" s="20">
        <f>IF($AF$42-11&lt;0,,MONTH($AA$6+178))</f>
        <v>0</v>
      </c>
      <c r="O39" s="20">
        <f>IF($AF$42-12&lt;0,,MONTH($AA$6+179))</f>
        <v>0</v>
      </c>
      <c r="P39" s="20">
        <f>IF($AF$42-13&lt;0,,MONTH($AA$6+180))</f>
        <v>0</v>
      </c>
      <c r="Q39" s="20">
        <f>IF($AF$42-14&lt;0,,MONTH($AA$6+181))</f>
        <v>0</v>
      </c>
      <c r="R39" s="20">
        <f>IF($AF$42-15&lt;0,,MONTH($AA$6+182))</f>
        <v>0</v>
      </c>
      <c r="S39" s="20">
        <f>IF($AF$42-16&lt;0,,MONTH($AA$6+183))</f>
        <v>0</v>
      </c>
      <c r="T39" s="20">
        <f>IF($AF$42-17&lt;0,,MONTH($AA$6+184))</f>
        <v>0</v>
      </c>
      <c r="U39" s="20">
        <f>IF($AF$42-18&lt;0,,MONTH($AA$6+185))</f>
        <v>0</v>
      </c>
      <c r="V39" s="20">
        <f>IF($AF$42-19&lt;0,,MONTH($AA$6+186))</f>
        <v>0</v>
      </c>
      <c r="W39" s="20">
        <f>IF($AF$42-20&lt;0,,MONTH($AA$6+187))</f>
        <v>0</v>
      </c>
      <c r="X39" s="20">
        <f>IF($AF$42-21&lt;0,,MONTH($AA$6+188))</f>
        <v>0</v>
      </c>
      <c r="Y39" s="20">
        <f>IF($AF$42-22&lt;0,,MONTH($AA$6+189))</f>
        <v>0</v>
      </c>
      <c r="Z39" s="20">
        <f>IF($AF$42-23&lt;0,,MONTH($AA$6+190))</f>
        <v>0</v>
      </c>
      <c r="AA39" s="20">
        <f>IF($AF$42-24&lt;0,,MONTH($AA$6+191))</f>
        <v>0</v>
      </c>
      <c r="AB39" s="20">
        <f>IF($AF$42-25&lt;0,,MONTH($AA$6+192))</f>
        <v>0</v>
      </c>
      <c r="AC39" s="20">
        <f>IF($AF$42-26&lt;0,,MONTH($AA$6+193))</f>
        <v>0</v>
      </c>
      <c r="AD39" s="20">
        <f>IF($AF$42-27&lt;0,,MONTH($AA$6+194))</f>
        <v>0</v>
      </c>
      <c r="AE39" s="20">
        <f>IF($AF$42-28&lt;0,,MONTH($AA$6+195))</f>
        <v>0</v>
      </c>
      <c r="AF39" s="55" t="s">
        <v>39</v>
      </c>
      <c r="AG39" s="56"/>
      <c r="AH39" s="56"/>
      <c r="AI39" s="56"/>
      <c r="AJ39" s="56"/>
      <c r="AK39" s="56"/>
      <c r="AL39" s="56"/>
      <c r="AM39" s="57"/>
      <c r="AN39" s="58" t="s">
        <v>5</v>
      </c>
      <c r="AO39" s="58"/>
    </row>
    <row r="40" spans="2:41" ht="24" x14ac:dyDescent="0.4">
      <c r="B40" s="40"/>
      <c r="C40" s="20" t="s">
        <v>11</v>
      </c>
      <c r="D40" s="20">
        <f>IF($AF$42-1&lt;0,,DAY($AA$6+168))</f>
        <v>0</v>
      </c>
      <c r="E40" s="20">
        <f>IF($AF$42-2&lt;0,,DAY($AA$6+169))</f>
        <v>0</v>
      </c>
      <c r="F40" s="20">
        <f>IF($AF$42-3&lt;0,,DAY($AA$6+170))</f>
        <v>0</v>
      </c>
      <c r="G40" s="20">
        <f>IF($AF$42-4&lt;0,,DAY($AA$6+171))</f>
        <v>0</v>
      </c>
      <c r="H40" s="20">
        <f>IF($AF$42-5&lt;0,,DAY($AA$6+172))</f>
        <v>0</v>
      </c>
      <c r="I40" s="20">
        <f>IF($AF$42-6&lt;0,,DAY($AA$6+173))</f>
        <v>0</v>
      </c>
      <c r="J40" s="20">
        <f>IF($AF$42-7&lt;0,,DAY($AA$6+174))</f>
        <v>0</v>
      </c>
      <c r="K40" s="20">
        <f>IF($AF$42-8&lt;0,,DAY($AA$6+175))</f>
        <v>0</v>
      </c>
      <c r="L40" s="20">
        <f>IF($AF$42-9&lt;0,,DAY($AA$6+176))</f>
        <v>0</v>
      </c>
      <c r="M40" s="20">
        <f>IF($AF$42-10&lt;0,,DAY($AA$6+177))</f>
        <v>0</v>
      </c>
      <c r="N40" s="20">
        <f>IF($AF$42-11&lt;0,,DAY($AA$6+178))</f>
        <v>0</v>
      </c>
      <c r="O40" s="20">
        <f>IF($AF$42-12&lt;0,,DAY($AA$6+179))</f>
        <v>0</v>
      </c>
      <c r="P40" s="20">
        <f>IF($AF$42-13&lt;0,,DAY($AA$6+180))</f>
        <v>0</v>
      </c>
      <c r="Q40" s="20">
        <f>IF($AF$42-14&lt;0,,DAY($AA$6+181))</f>
        <v>0</v>
      </c>
      <c r="R40" s="20">
        <f>IF($AF$42-15&lt;0,,DAY($AA$6+182))</f>
        <v>0</v>
      </c>
      <c r="S40" s="20">
        <f>IF($AF$42-16&lt;0,,DAY($AA$6+183))</f>
        <v>0</v>
      </c>
      <c r="T40" s="20">
        <f>IF($AF$42-17&lt;0,,DAY($AA$6+184))</f>
        <v>0</v>
      </c>
      <c r="U40" s="20">
        <f>IF($AF$42-18&lt;0,,DAY($AA$6+185))</f>
        <v>0</v>
      </c>
      <c r="V40" s="20">
        <f>IF($AF$42-19&lt;0,,DAY($AA$6+186))</f>
        <v>0</v>
      </c>
      <c r="W40" s="20">
        <f>IF($AF$42-20&lt;0,,DAY($AA$6+187))</f>
        <v>0</v>
      </c>
      <c r="X40" s="20">
        <f>IF($AF$42-21&lt;0,,DAY($AA$6+188))</f>
        <v>0</v>
      </c>
      <c r="Y40" s="20">
        <f>IF($AF$42-22&lt;0,,DAY($AA$6+189))</f>
        <v>0</v>
      </c>
      <c r="Z40" s="20">
        <f>IF($AF$42-23&lt;0,,DAY($AA$6+190))</f>
        <v>0</v>
      </c>
      <c r="AA40" s="20">
        <f>IF($AF$42-24&lt;0,,DAY($AA$6+191))</f>
        <v>0</v>
      </c>
      <c r="AB40" s="20">
        <f>IF($AF$42-25&lt;0,,DAY($AA$6+192))</f>
        <v>0</v>
      </c>
      <c r="AC40" s="20">
        <f>IF($AF$42-26&lt;0,,DAY($AA$6+193))</f>
        <v>0</v>
      </c>
      <c r="AD40" s="20">
        <f>IF($AF$42-27&lt;0,,DAY($AA$6+194))</f>
        <v>0</v>
      </c>
      <c r="AE40" s="20">
        <f>IF($AF$42-28&lt;0,,DAY($AA$6+195))</f>
        <v>0</v>
      </c>
      <c r="AF40" s="26"/>
      <c r="AG40" s="27"/>
      <c r="AH40" s="47" t="s">
        <v>14</v>
      </c>
      <c r="AI40" s="48"/>
      <c r="AJ40" s="48"/>
      <c r="AK40" s="48"/>
      <c r="AL40" s="48"/>
      <c r="AM40" s="49"/>
      <c r="AN40" s="46"/>
      <c r="AO40" s="46"/>
    </row>
    <row r="41" spans="2:41" ht="24" x14ac:dyDescent="0.4">
      <c r="B41" s="40"/>
      <c r="C41" s="20" t="s">
        <v>16</v>
      </c>
      <c r="D41" s="20" t="str" cm="1">
        <f t="array" ref="D41">IF(D40&gt;0,_xlfn.SWITCH(AE36,"月","火","火","水","水","木","木","金","金","土","土","日","日","月"),"")</f>
        <v/>
      </c>
      <c r="E41" s="20" t="str" cm="1">
        <f t="array" ref="E41">IF(E40&gt;0,_xlfn.SWITCH(D41,"月","火","火","水","水","木","木","金","金","土","土","日","日","月"),"")</f>
        <v/>
      </c>
      <c r="F41" s="20" t="str" cm="1">
        <f t="array" ref="F41">IF(F40&gt;0,_xlfn.SWITCH(E41,"月","火","火","水","水","木","木","金","金","土","土","日","日","月"),"")</f>
        <v/>
      </c>
      <c r="G41" s="20" t="str" cm="1">
        <f t="array" ref="G41">IF(G40&gt;0,_xlfn.SWITCH(F41,"月","火","火","水","水","木","木","金","金","土","土","日","日","月"),"")</f>
        <v/>
      </c>
      <c r="H41" s="20" t="str" cm="1">
        <f t="array" ref="H41">IF(H40&gt;0,_xlfn.SWITCH(G41,"月","火","火","水","水","木","木","金","金","土","土","日","日","月"),"")</f>
        <v/>
      </c>
      <c r="I41" s="20" t="str" cm="1">
        <f t="array" ref="I41">IF(I40&gt;0,_xlfn.SWITCH(H41,"月","火","火","水","水","木","木","金","金","土","土","日","日","月"),"")</f>
        <v/>
      </c>
      <c r="J41" s="20" t="str" cm="1">
        <f t="array" ref="J41">IF(J40&gt;0,_xlfn.SWITCH(I41,"月","火","火","水","水","木","木","金","金","土","土","日","日","月"),"")</f>
        <v/>
      </c>
      <c r="K41" s="20" t="str" cm="1">
        <f t="array" ref="K41">IF(K40&gt;0,_xlfn.SWITCH(J41,"月","火","火","水","水","木","木","金","金","土","土","日","日","月"),"")</f>
        <v/>
      </c>
      <c r="L41" s="20" t="str" cm="1">
        <f t="array" ref="L41">IF(L40&gt;0,_xlfn.SWITCH(K41,"月","火","火","水","水","木","木","金","金","土","土","日","日","月"),"")</f>
        <v/>
      </c>
      <c r="M41" s="20" t="str" cm="1">
        <f t="array" ref="M41">IF(M40&gt;0,_xlfn.SWITCH(L41,"月","火","火","水","水","木","木","金","金","土","土","日","日","月"),"")</f>
        <v/>
      </c>
      <c r="N41" s="20" t="str" cm="1">
        <f t="array" ref="N41">IF(N40&gt;0,_xlfn.SWITCH(M41,"月","火","火","水","水","木","木","金","金","土","土","日","日","月"),"")</f>
        <v/>
      </c>
      <c r="O41" s="20" t="str" cm="1">
        <f t="array" ref="O41">IF(O40&gt;0,_xlfn.SWITCH(N41,"月","火","火","水","水","木","木","金","金","土","土","日","日","月"),"")</f>
        <v/>
      </c>
      <c r="P41" s="20" t="str" cm="1">
        <f t="array" ref="P41">IF(P40&gt;0,_xlfn.SWITCH(O41,"月","火","火","水","水","木","木","金","金","土","土","日","日","月"),"")</f>
        <v/>
      </c>
      <c r="Q41" s="20" t="str" cm="1">
        <f t="array" ref="Q41">IF(Q40&gt;0,_xlfn.SWITCH(P41,"月","火","火","水","水","木","木","金","金","土","土","日","日","月"),"")</f>
        <v/>
      </c>
      <c r="R41" s="20" t="str" cm="1">
        <f t="array" ref="R41">IF(R40&gt;0,_xlfn.SWITCH(Q41,"月","火","火","水","水","木","木","金","金","土","土","日","日","月"),"")</f>
        <v/>
      </c>
      <c r="S41" s="20" t="str" cm="1">
        <f t="array" ref="S41">IF(S40&gt;0,_xlfn.SWITCH(R41,"月","火","火","水","水","木","木","金","金","土","土","日","日","月"),"")</f>
        <v/>
      </c>
      <c r="T41" s="20" t="str" cm="1">
        <f t="array" ref="T41">IF(T40&gt;0,_xlfn.SWITCH(S41,"月","火","火","水","水","木","木","金","金","土","土","日","日","月"),"")</f>
        <v/>
      </c>
      <c r="U41" s="20" t="str" cm="1">
        <f t="array" ref="U41">IF(U40&gt;0,_xlfn.SWITCH(T41,"月","火","火","水","水","木","木","金","金","土","土","日","日","月"),"")</f>
        <v/>
      </c>
      <c r="V41" s="20" t="str" cm="1">
        <f t="array" ref="V41">IF(V40&gt;0,_xlfn.SWITCH(U41,"月","火","火","水","水","木","木","金","金","土","土","日","日","月"),"")</f>
        <v/>
      </c>
      <c r="W41" s="20" t="str" cm="1">
        <f t="array" ref="W41">IF(W40&gt;0,_xlfn.SWITCH(V41,"月","火","火","水","水","木","木","金","金","土","土","日","日","月"),"")</f>
        <v/>
      </c>
      <c r="X41" s="20" t="str" cm="1">
        <f t="array" ref="X41">IF(X40&gt;0,_xlfn.SWITCH(W41,"月","火","火","水","水","木","木","金","金","土","土","日","日","月"),"")</f>
        <v/>
      </c>
      <c r="Y41" s="20" t="str" cm="1">
        <f t="array" ref="Y41">IF(Y40&gt;0,_xlfn.SWITCH(X41,"月","火","火","水","水","木","木","金","金","土","土","日","日","月"),"")</f>
        <v/>
      </c>
      <c r="Z41" s="20" t="str" cm="1">
        <f t="array" ref="Z41">IF(Z40&gt;0,_xlfn.SWITCH(Y41,"月","火","火","水","水","木","木","金","金","土","土","日","日","月"),"")</f>
        <v/>
      </c>
      <c r="AA41" s="20" t="str" cm="1">
        <f t="array" ref="AA41">IF(AA40&gt;0,_xlfn.SWITCH(Z41,"月","火","火","水","水","木","木","金","金","土","土","日","日","月"),"")</f>
        <v/>
      </c>
      <c r="AB41" s="20" t="str" cm="1">
        <f t="array" ref="AB41">IF(AB40&gt;0,_xlfn.SWITCH(AA41,"月","火","火","水","水","木","木","金","金","土","土","日","日","月"),"")</f>
        <v/>
      </c>
      <c r="AC41" s="20" t="str" cm="1">
        <f t="array" ref="AC41">IF(AC40&gt;0,_xlfn.SWITCH(AB41,"月","火","火","水","水","木","木","金","金","土","土","日","日","月"),"")</f>
        <v/>
      </c>
      <c r="AD41" s="20" t="str" cm="1">
        <f t="array" ref="AD41">IF(AD40&gt;0,_xlfn.SWITCH(AC41,"月","火","火","水","水","木","木","金","金","土","土","日","日","月"),"")</f>
        <v/>
      </c>
      <c r="AE41" s="20" t="str" cm="1">
        <f t="array" ref="AE41">IF(AE40&gt;0,_xlfn.SWITCH(AD41,"月","火","火","水","水","木","木","金","金","土","土","日","日","月"),"")</f>
        <v/>
      </c>
      <c r="AF41" s="28"/>
      <c r="AG41" s="7"/>
      <c r="AH41" s="11"/>
      <c r="AI41" s="7"/>
      <c r="AJ41" s="50" t="s">
        <v>12</v>
      </c>
      <c r="AK41" s="51"/>
      <c r="AL41" s="51"/>
      <c r="AM41" s="52"/>
      <c r="AN41" s="46"/>
      <c r="AO41" s="46"/>
    </row>
    <row r="42" spans="2:41" ht="24" x14ac:dyDescent="0.4">
      <c r="B42" s="40"/>
      <c r="C42" s="19" t="s">
        <v>0</v>
      </c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31">
        <f>IF(AA6="",0,IF(_xlfn.DAYS(AI6,AA6)+1-168&gt;=28,28,IF(_xlfn.DAYS(AI6,AA6)+1-168&lt;0,0,_xlfn.DAYS(AI6,AA6)+1-168)))</f>
        <v>0</v>
      </c>
      <c r="AG42" s="33"/>
      <c r="AH42" s="53">
        <f>AF42-COUNTIF(D42:AE42,"×")</f>
        <v>0</v>
      </c>
      <c r="AI42" s="54"/>
      <c r="AJ42" s="31">
        <f>COUNTIF(D42:AE42,"●")</f>
        <v>0</v>
      </c>
      <c r="AK42" s="32"/>
      <c r="AL42" s="32"/>
      <c r="AM42" s="33"/>
      <c r="AN42" s="34" t="e">
        <f>AJ42/AH42</f>
        <v>#DIV/0!</v>
      </c>
      <c r="AO42" s="34"/>
    </row>
    <row r="43" spans="2:41" ht="24.75" thickBot="1" x14ac:dyDescent="0.45">
      <c r="B43" s="41"/>
      <c r="C43" s="21" t="s">
        <v>1</v>
      </c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35">
        <f>IF(AA6="",0,IF(_xlfn.DAYS(AI6,AA6)+1-168&gt;=28,28,IF(_xlfn.DAYS(AI6,AA6)+1-168&lt;0,0,_xlfn.DAYS(AI6,AA6)+1-168)))</f>
        <v>0</v>
      </c>
      <c r="AG43" s="36"/>
      <c r="AH43" s="35">
        <f>AF43-COUNTIF(D43:AE43,"×")</f>
        <v>0</v>
      </c>
      <c r="AI43" s="36"/>
      <c r="AJ43" s="35">
        <f>COUNTIF(D43:AE43,"●")</f>
        <v>0</v>
      </c>
      <c r="AK43" s="37"/>
      <c r="AL43" s="37"/>
      <c r="AM43" s="36"/>
      <c r="AN43" s="38" t="e">
        <f>AJ43/AH43</f>
        <v>#DIV/0!</v>
      </c>
      <c r="AO43" s="38"/>
    </row>
    <row r="44" spans="2:41" ht="24" x14ac:dyDescent="0.4">
      <c r="B44" s="40" t="s">
        <v>26</v>
      </c>
      <c r="C44" s="23" t="s">
        <v>15</v>
      </c>
      <c r="D44" s="20">
        <f>IF($AF$47-1&lt;0,,MONTH($AA$6+196))</f>
        <v>0</v>
      </c>
      <c r="E44" s="20">
        <f>IF($AF$47-2&lt;0,,MONTH($AA$6+197))</f>
        <v>0</v>
      </c>
      <c r="F44" s="20">
        <f>IF($AF$47-3&lt;0,,MONTH($AA$6+198))</f>
        <v>0</v>
      </c>
      <c r="G44" s="20">
        <f>IF($AF$47-4&lt;0,,MONTH($AA$6+199))</f>
        <v>0</v>
      </c>
      <c r="H44" s="20">
        <f>IF($AF$47-5&lt;0,,MONTH($AA$6+200))</f>
        <v>0</v>
      </c>
      <c r="I44" s="20">
        <f>IF($AF$47-6&lt;0,,MONTH($AA$6+201))</f>
        <v>0</v>
      </c>
      <c r="J44" s="20">
        <f>IF($AF$47-7&lt;0,,MONTH($AA$6+202))</f>
        <v>0</v>
      </c>
      <c r="K44" s="20">
        <f>IF($AF$47-8&lt;0,,MONTH($AA$6+203))</f>
        <v>0</v>
      </c>
      <c r="L44" s="20">
        <f>IF($AF$47-9&lt;0,,MONTH($AA$6+204))</f>
        <v>0</v>
      </c>
      <c r="M44" s="20">
        <f>IF($AF$47-10&lt;0,,MONTH($AA$6+205))</f>
        <v>0</v>
      </c>
      <c r="N44" s="20">
        <f>IF($AF$47-11&lt;0,,MONTH($AA$6+206))</f>
        <v>0</v>
      </c>
      <c r="O44" s="20">
        <f>IF($AF$47-12&lt;0,,MONTH($AA$6+207))</f>
        <v>0</v>
      </c>
      <c r="P44" s="20">
        <f>IF($AF$47-13&lt;0,,MONTH($AA$6+208))</f>
        <v>0</v>
      </c>
      <c r="Q44" s="20">
        <f>IF($AF$47-14&lt;0,,MONTH($AA$6+209))</f>
        <v>0</v>
      </c>
      <c r="R44" s="20">
        <f>IF($AF$47-15&lt;0,,MONTH($AA$6+210))</f>
        <v>0</v>
      </c>
      <c r="S44" s="20">
        <f>IF($AF$47-16&lt;0,,MONTH($AA$6+211))</f>
        <v>0</v>
      </c>
      <c r="T44" s="20">
        <f>IF($AF$47-17&lt;0,,MONTH($AA$6+212))</f>
        <v>0</v>
      </c>
      <c r="U44" s="20">
        <f>IF($AF$47-18&lt;0,,MONTH($AA$6+213))</f>
        <v>0</v>
      </c>
      <c r="V44" s="20">
        <f>IF($AF$47-19&lt;0,,MONTH($AA$6+214))</f>
        <v>0</v>
      </c>
      <c r="W44" s="20">
        <f>IF($AF$47-20&lt;0,,MONTH($AA$6+215))</f>
        <v>0</v>
      </c>
      <c r="X44" s="20">
        <f>IF($AF$47-21&lt;0,,MONTH($AA$6+216))</f>
        <v>0</v>
      </c>
      <c r="Y44" s="20">
        <f>IF($AF$47-22&lt;0,,MONTH($AA$6+217))</f>
        <v>0</v>
      </c>
      <c r="Z44" s="20">
        <f>IF($AF$47-23&lt;0,,MONTH($AA$6+218))</f>
        <v>0</v>
      </c>
      <c r="AA44" s="20">
        <f>IF($AF$47-24&lt;0,,MONTH($AA$6+219))</f>
        <v>0</v>
      </c>
      <c r="AB44" s="20">
        <f>IF($AF$47-25&lt;0,,MONTH($AA$6+220))</f>
        <v>0</v>
      </c>
      <c r="AC44" s="20">
        <f>IF($AF$47-26&lt;0,,MONTH($AA$6+221))</f>
        <v>0</v>
      </c>
      <c r="AD44" s="20">
        <f>IF($AF$47-27&lt;0,,MONTH($AA$6+222))</f>
        <v>0</v>
      </c>
      <c r="AE44" s="20">
        <f>IF($AF$47-28&lt;0,,MONTH($AA$6+223))</f>
        <v>0</v>
      </c>
      <c r="AF44" s="55" t="s">
        <v>39</v>
      </c>
      <c r="AG44" s="56"/>
      <c r="AH44" s="56"/>
      <c r="AI44" s="56"/>
      <c r="AJ44" s="56"/>
      <c r="AK44" s="56"/>
      <c r="AL44" s="56"/>
      <c r="AM44" s="57"/>
      <c r="AN44" s="58" t="s">
        <v>5</v>
      </c>
      <c r="AO44" s="58"/>
    </row>
    <row r="45" spans="2:41" ht="24" x14ac:dyDescent="0.4">
      <c r="B45" s="40"/>
      <c r="C45" s="20" t="s">
        <v>11</v>
      </c>
      <c r="D45" s="20">
        <f>IF($AF$47-1&lt;0,,DAY($AA$6+196))</f>
        <v>0</v>
      </c>
      <c r="E45" s="20">
        <f>IF($AF$47-2&lt;0,,DAY($AA$6+197))</f>
        <v>0</v>
      </c>
      <c r="F45" s="20">
        <f>IF($AF$47-3&lt;0,,DAY($AA$6+198))</f>
        <v>0</v>
      </c>
      <c r="G45" s="20">
        <f>IF($AF$47-4&lt;0,,DAY($AA$6+199))</f>
        <v>0</v>
      </c>
      <c r="H45" s="20">
        <f>IF($AF$47-5&lt;0,,DAY($AA$6+200))</f>
        <v>0</v>
      </c>
      <c r="I45" s="20">
        <f>IF($AF$47-6&lt;0,,DAY($AA$6+201))</f>
        <v>0</v>
      </c>
      <c r="J45" s="20">
        <f>IF($AF$47-7&lt;0,,DAY($AA$6+202))</f>
        <v>0</v>
      </c>
      <c r="K45" s="20">
        <f>IF($AF$47-8&lt;0,,DAY($AA$6+203))</f>
        <v>0</v>
      </c>
      <c r="L45" s="20">
        <f>IF($AF$47-9&lt;0,,DAY($AA$6+204))</f>
        <v>0</v>
      </c>
      <c r="M45" s="20">
        <f>IF($AF$47-10&lt;0,,DAY($AA$6+205))</f>
        <v>0</v>
      </c>
      <c r="N45" s="20">
        <f>IF($AF$47-11&lt;0,,DAY($AA$6+206))</f>
        <v>0</v>
      </c>
      <c r="O45" s="20">
        <f>IF($AF$47-12&lt;0,,DAY($AA$6+207))</f>
        <v>0</v>
      </c>
      <c r="P45" s="20">
        <f>IF($AF$47-13&lt;0,,DAY($AA$6+208))</f>
        <v>0</v>
      </c>
      <c r="Q45" s="20">
        <f>IF($AF$47-14&lt;0,,DAY($AA$6+209))</f>
        <v>0</v>
      </c>
      <c r="R45" s="20">
        <f>IF($AF$47-15&lt;0,,DAY($AA$6+210))</f>
        <v>0</v>
      </c>
      <c r="S45" s="20">
        <f>IF($AF$47-16&lt;0,,DAY($AA$6+211))</f>
        <v>0</v>
      </c>
      <c r="T45" s="20">
        <f>IF($AF$47-17&lt;0,,DAY($AA$6+212))</f>
        <v>0</v>
      </c>
      <c r="U45" s="20">
        <f>IF($AF$47-18&lt;0,,DAY($AA$6+213))</f>
        <v>0</v>
      </c>
      <c r="V45" s="20">
        <f>IF($AF$47-19&lt;0,,DAY($AA$6+214))</f>
        <v>0</v>
      </c>
      <c r="W45" s="20">
        <f>IF($AF$47-20&lt;0,,DAY($AA$6+215))</f>
        <v>0</v>
      </c>
      <c r="X45" s="20">
        <f>IF($AF$47-21&lt;0,,DAY($AA$6+216))</f>
        <v>0</v>
      </c>
      <c r="Y45" s="20">
        <f>IF($AF$47-22&lt;0,,DAY($AA$6+217))</f>
        <v>0</v>
      </c>
      <c r="Z45" s="20">
        <f>IF($AF$47-23&lt;0,,DAY($AA$6+218))</f>
        <v>0</v>
      </c>
      <c r="AA45" s="20">
        <f>IF($AF$47-24&lt;0,,DAY($AA$6+219))</f>
        <v>0</v>
      </c>
      <c r="AB45" s="20">
        <f>IF($AF$47-25&lt;0,,DAY($AA$6+220))</f>
        <v>0</v>
      </c>
      <c r="AC45" s="20">
        <f>IF($AF$47-26&lt;0,,DAY($AA$6+221))</f>
        <v>0</v>
      </c>
      <c r="AD45" s="20">
        <f>IF($AF$47-27&lt;0,,DAY($AA$6+222))</f>
        <v>0</v>
      </c>
      <c r="AE45" s="20">
        <f>IF($AF$47-28&lt;0,,DAY($AA$6+223))</f>
        <v>0</v>
      </c>
      <c r="AF45" s="26"/>
      <c r="AG45" s="27"/>
      <c r="AH45" s="47" t="s">
        <v>14</v>
      </c>
      <c r="AI45" s="48"/>
      <c r="AJ45" s="48"/>
      <c r="AK45" s="48"/>
      <c r="AL45" s="48"/>
      <c r="AM45" s="49"/>
      <c r="AN45" s="46"/>
      <c r="AO45" s="46"/>
    </row>
    <row r="46" spans="2:41" ht="24" x14ac:dyDescent="0.4">
      <c r="B46" s="40"/>
      <c r="C46" s="20" t="s">
        <v>16</v>
      </c>
      <c r="D46" s="20" t="str" cm="1">
        <f t="array" ref="D46">IF(D45&gt;0,_xlfn.SWITCH(AE41,"月","火","火","水","水","木","木","金","金","土","土","日","日","月"),"")</f>
        <v/>
      </c>
      <c r="E46" s="20" t="str" cm="1">
        <f t="array" ref="E46">IF(E45&gt;0,_xlfn.SWITCH(D46,"月","火","火","水","水","木","木","金","金","土","土","日","日","月"),"")</f>
        <v/>
      </c>
      <c r="F46" s="20" t="str" cm="1">
        <f t="array" ref="F46">IF(F45&gt;0,_xlfn.SWITCH(E46,"月","火","火","水","水","木","木","金","金","土","土","日","日","月"),"")</f>
        <v/>
      </c>
      <c r="G46" s="20" t="str" cm="1">
        <f t="array" ref="G46">IF(G45&gt;0,_xlfn.SWITCH(F46,"月","火","火","水","水","木","木","金","金","土","土","日","日","月"),"")</f>
        <v/>
      </c>
      <c r="H46" s="20" t="str" cm="1">
        <f t="array" ref="H46">IF(H45&gt;0,_xlfn.SWITCH(G46,"月","火","火","水","水","木","木","金","金","土","土","日","日","月"),"")</f>
        <v/>
      </c>
      <c r="I46" s="20" t="str" cm="1">
        <f t="array" ref="I46">IF(I45&gt;0,_xlfn.SWITCH(H46,"月","火","火","水","水","木","木","金","金","土","土","日","日","月"),"")</f>
        <v/>
      </c>
      <c r="J46" s="20" t="str" cm="1">
        <f t="array" ref="J46">IF(J45&gt;0,_xlfn.SWITCH(I46,"月","火","火","水","水","木","木","金","金","土","土","日","日","月"),"")</f>
        <v/>
      </c>
      <c r="K46" s="20" t="str" cm="1">
        <f t="array" ref="K46">IF(K45&gt;0,_xlfn.SWITCH(J46,"月","火","火","水","水","木","木","金","金","土","土","日","日","月"),"")</f>
        <v/>
      </c>
      <c r="L46" s="20" t="str" cm="1">
        <f t="array" ref="L46">IF(L45&gt;0,_xlfn.SWITCH(K46,"月","火","火","水","水","木","木","金","金","土","土","日","日","月"),"")</f>
        <v/>
      </c>
      <c r="M46" s="20" t="str" cm="1">
        <f t="array" ref="M46">IF(M45&gt;0,_xlfn.SWITCH(L46,"月","火","火","水","水","木","木","金","金","土","土","日","日","月"),"")</f>
        <v/>
      </c>
      <c r="N46" s="20" t="str" cm="1">
        <f t="array" ref="N46">IF(N45&gt;0,_xlfn.SWITCH(M46,"月","火","火","水","水","木","木","金","金","土","土","日","日","月"),"")</f>
        <v/>
      </c>
      <c r="O46" s="20" t="str" cm="1">
        <f t="array" ref="O46">IF(O45&gt;0,_xlfn.SWITCH(N46,"月","火","火","水","水","木","木","金","金","土","土","日","日","月"),"")</f>
        <v/>
      </c>
      <c r="P46" s="20" t="str" cm="1">
        <f t="array" ref="P46">IF(P45&gt;0,_xlfn.SWITCH(O46,"月","火","火","水","水","木","木","金","金","土","土","日","日","月"),"")</f>
        <v/>
      </c>
      <c r="Q46" s="20" t="str" cm="1">
        <f t="array" ref="Q46">IF(Q45&gt;0,_xlfn.SWITCH(P46,"月","火","火","水","水","木","木","金","金","土","土","日","日","月"),"")</f>
        <v/>
      </c>
      <c r="R46" s="20" t="str" cm="1">
        <f t="array" ref="R46">IF(R45&gt;0,_xlfn.SWITCH(Q46,"月","火","火","水","水","木","木","金","金","土","土","日","日","月"),"")</f>
        <v/>
      </c>
      <c r="S46" s="20" t="str" cm="1">
        <f t="array" ref="S46">IF(S45&gt;0,_xlfn.SWITCH(R46,"月","火","火","水","水","木","木","金","金","土","土","日","日","月"),"")</f>
        <v/>
      </c>
      <c r="T46" s="20" t="str" cm="1">
        <f t="array" ref="T46">IF(T45&gt;0,_xlfn.SWITCH(S46,"月","火","火","水","水","木","木","金","金","土","土","日","日","月"),"")</f>
        <v/>
      </c>
      <c r="U46" s="20" t="str" cm="1">
        <f t="array" ref="U46">IF(U45&gt;0,_xlfn.SWITCH(T46,"月","火","火","水","水","木","木","金","金","土","土","日","日","月"),"")</f>
        <v/>
      </c>
      <c r="V46" s="20" t="str" cm="1">
        <f t="array" ref="V46">IF(V45&gt;0,_xlfn.SWITCH(U46,"月","火","火","水","水","木","木","金","金","土","土","日","日","月"),"")</f>
        <v/>
      </c>
      <c r="W46" s="20" t="str" cm="1">
        <f t="array" ref="W46">IF(W45&gt;0,_xlfn.SWITCH(V46,"月","火","火","水","水","木","木","金","金","土","土","日","日","月"),"")</f>
        <v/>
      </c>
      <c r="X46" s="20" t="str" cm="1">
        <f t="array" ref="X46">IF(X45&gt;0,_xlfn.SWITCH(W46,"月","火","火","水","水","木","木","金","金","土","土","日","日","月"),"")</f>
        <v/>
      </c>
      <c r="Y46" s="20" t="str" cm="1">
        <f t="array" ref="Y46">IF(Y45&gt;0,_xlfn.SWITCH(X46,"月","火","火","水","水","木","木","金","金","土","土","日","日","月"),"")</f>
        <v/>
      </c>
      <c r="Z46" s="20" t="str" cm="1">
        <f t="array" ref="Z46">IF(Z45&gt;0,_xlfn.SWITCH(Y46,"月","火","火","水","水","木","木","金","金","土","土","日","日","月"),"")</f>
        <v/>
      </c>
      <c r="AA46" s="20" t="str" cm="1">
        <f t="array" ref="AA46">IF(AA45&gt;0,_xlfn.SWITCH(Z46,"月","火","火","水","水","木","木","金","金","土","土","日","日","月"),"")</f>
        <v/>
      </c>
      <c r="AB46" s="20" t="str" cm="1">
        <f t="array" ref="AB46">IF(AB45&gt;0,_xlfn.SWITCH(AA46,"月","火","火","水","水","木","木","金","金","土","土","日","日","月"),"")</f>
        <v/>
      </c>
      <c r="AC46" s="20" t="str" cm="1">
        <f t="array" ref="AC46">IF(AC45&gt;0,_xlfn.SWITCH(AB46,"月","火","火","水","水","木","木","金","金","土","土","日","日","月"),"")</f>
        <v/>
      </c>
      <c r="AD46" s="20" t="str" cm="1">
        <f t="array" ref="AD46">IF(AD45&gt;0,_xlfn.SWITCH(AC46,"月","火","火","水","水","木","木","金","金","土","土","日","日","月"),"")</f>
        <v/>
      </c>
      <c r="AE46" s="20" t="str" cm="1">
        <f t="array" ref="AE46">IF(AE45&gt;0,_xlfn.SWITCH(AD46,"月","火","火","水","水","木","木","金","金","土","土","日","日","月"),"")</f>
        <v/>
      </c>
      <c r="AF46" s="28"/>
      <c r="AG46" s="7"/>
      <c r="AH46" s="11"/>
      <c r="AI46" s="7"/>
      <c r="AJ46" s="50" t="s">
        <v>12</v>
      </c>
      <c r="AK46" s="51"/>
      <c r="AL46" s="51"/>
      <c r="AM46" s="52"/>
      <c r="AN46" s="46"/>
      <c r="AO46" s="46"/>
    </row>
    <row r="47" spans="2:41" ht="24" x14ac:dyDescent="0.4">
      <c r="B47" s="40"/>
      <c r="C47" s="19" t="s">
        <v>0</v>
      </c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31">
        <f>IF(AA6="",0,IF(_xlfn.DAYS(AI6,AA6)+1-196&gt;=28,28,IF(_xlfn.DAYS(AI6,AA6)+1-196&lt;0,0,_xlfn.DAYS(AI6,AA6)+1-196)))</f>
        <v>0</v>
      </c>
      <c r="AG47" s="33"/>
      <c r="AH47" s="53">
        <f>AF47-COUNTIF(D47:AE47,"×")</f>
        <v>0</v>
      </c>
      <c r="AI47" s="54"/>
      <c r="AJ47" s="31">
        <f>COUNTIF(D47:AE47,"●")</f>
        <v>0</v>
      </c>
      <c r="AK47" s="32"/>
      <c r="AL47" s="32"/>
      <c r="AM47" s="33"/>
      <c r="AN47" s="34" t="e">
        <f>AJ47/AH47</f>
        <v>#DIV/0!</v>
      </c>
      <c r="AO47" s="34"/>
    </row>
    <row r="48" spans="2:41" ht="24.75" thickBot="1" x14ac:dyDescent="0.45">
      <c r="B48" s="41"/>
      <c r="C48" s="21" t="s">
        <v>1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35">
        <f>IF(AA6="",0,IF(_xlfn.DAYS(AI6,AA6)+1-196&gt;=28,28,IF(_xlfn.DAYS(AI6,AA6)+1-196&lt;0,0,_xlfn.DAYS(AI6,AA6)+1-196)))</f>
        <v>0</v>
      </c>
      <c r="AG48" s="36"/>
      <c r="AH48" s="35">
        <f>AF48-COUNTIF(D48:AE48,"×")</f>
        <v>0</v>
      </c>
      <c r="AI48" s="36"/>
      <c r="AJ48" s="35">
        <f>COUNTIF(D48:AE48,"●")</f>
        <v>0</v>
      </c>
      <c r="AK48" s="37"/>
      <c r="AL48" s="37"/>
      <c r="AM48" s="36"/>
      <c r="AN48" s="38" t="e">
        <f>AJ48/AH48</f>
        <v>#DIV/0!</v>
      </c>
      <c r="AO48" s="38"/>
    </row>
    <row r="49" spans="2:41" ht="24" x14ac:dyDescent="0.4">
      <c r="B49" s="40" t="s">
        <v>27</v>
      </c>
      <c r="C49" s="23" t="s">
        <v>15</v>
      </c>
      <c r="D49" s="20">
        <f>IF(AF52-1&lt;0,,MONTH($AA$6+224))</f>
        <v>0</v>
      </c>
      <c r="E49" s="20">
        <f>IF(AF52-2&lt;0,,MONTH($AA6+225))</f>
        <v>0</v>
      </c>
      <c r="F49" s="20">
        <f>IF(AF52-3&lt;0,,MONTH($AA6+226))</f>
        <v>0</v>
      </c>
      <c r="G49" s="20">
        <f>IF(AF52-4&lt;0,,MONTH($AA6+227))</f>
        <v>0</v>
      </c>
      <c r="H49" s="20">
        <f>IF(AF52-5&lt;0,,MONTH($AA6+228))</f>
        <v>0</v>
      </c>
      <c r="I49" s="20">
        <f>IF(AF52-6&lt;0,,MONTH($AA6+229))</f>
        <v>0</v>
      </c>
      <c r="J49" s="20">
        <f>IF(AF52-7&lt;0,,MONTH($AA6+230))</f>
        <v>0</v>
      </c>
      <c r="K49" s="20">
        <f>IF(AF52-8&lt;0,,MONTH($AA6+231))</f>
        <v>0</v>
      </c>
      <c r="L49" s="20">
        <f>IF(AF52-9&lt;0,,MONTH($AA6+232))</f>
        <v>0</v>
      </c>
      <c r="M49" s="20">
        <f>IF(AF52-10&lt;0,,MONTH($AA6+233))</f>
        <v>0</v>
      </c>
      <c r="N49" s="20">
        <f>IF(AF52-11&lt;0,,MONTH($AA6+234))</f>
        <v>0</v>
      </c>
      <c r="O49" s="20">
        <f>IF(AF52-12&lt;0,,MONTH($AA6+235))</f>
        <v>0</v>
      </c>
      <c r="P49" s="20">
        <f>IF(AF52-13&lt;0,,MONTH($AA6+236))</f>
        <v>0</v>
      </c>
      <c r="Q49" s="20">
        <f>IF(AF52-14&lt;0,,MONTH($AA6+237))</f>
        <v>0</v>
      </c>
      <c r="R49" s="20">
        <f>IF(AF52-15&lt;0,,MONTH($AA6+238))</f>
        <v>0</v>
      </c>
      <c r="S49" s="20">
        <f>IF(AF52-16&lt;0,,MONTH($AA6+239))</f>
        <v>0</v>
      </c>
      <c r="T49" s="20">
        <f>IF(AF52-17&lt;0,,MONTH($AA6+240))</f>
        <v>0</v>
      </c>
      <c r="U49" s="20">
        <f>IF(AF52-18&lt;0,,MONTH($AA6+241))</f>
        <v>0</v>
      </c>
      <c r="V49" s="20">
        <f>IF(AF52-19&lt;0,,MONTH($AA6+242))</f>
        <v>0</v>
      </c>
      <c r="W49" s="20">
        <f>IF(AF52-20&lt;0,,MONTH($AA6+243))</f>
        <v>0</v>
      </c>
      <c r="X49" s="20">
        <f>IF(AF52-21&lt;0,,MONTH($AA6+244))</f>
        <v>0</v>
      </c>
      <c r="Y49" s="20">
        <f>IF(AF52-22&lt;0,,MONTH($AA6+245))</f>
        <v>0</v>
      </c>
      <c r="Z49" s="20">
        <f>IF(AF52-23&lt;0,,MONTH($AA6+246))</f>
        <v>0</v>
      </c>
      <c r="AA49" s="20">
        <f>IF(AF52-24&lt;0,,MONTH($AA6+247))</f>
        <v>0</v>
      </c>
      <c r="AB49" s="20">
        <f>IF(AF52-25&lt;0,,MONTH($AA6+248))</f>
        <v>0</v>
      </c>
      <c r="AC49" s="20">
        <f>IF(AF52-26&lt;0,,MONTH($AA6+249))</f>
        <v>0</v>
      </c>
      <c r="AD49" s="20">
        <f>IF(AF52-27&lt;0,,MONTH($AA6+250))</f>
        <v>0</v>
      </c>
      <c r="AE49" s="20">
        <f>IF(AF52-28&lt;0,,MONTH($AA6+251))</f>
        <v>0</v>
      </c>
      <c r="AF49" s="55" t="s">
        <v>39</v>
      </c>
      <c r="AG49" s="56"/>
      <c r="AH49" s="56"/>
      <c r="AI49" s="56"/>
      <c r="AJ49" s="56"/>
      <c r="AK49" s="56"/>
      <c r="AL49" s="56"/>
      <c r="AM49" s="57"/>
      <c r="AN49" s="58" t="s">
        <v>5</v>
      </c>
      <c r="AO49" s="58"/>
    </row>
    <row r="50" spans="2:41" ht="24" x14ac:dyDescent="0.4">
      <c r="B50" s="40"/>
      <c r="C50" s="20" t="s">
        <v>11</v>
      </c>
      <c r="D50" s="20">
        <f>IF(AF52-1&lt;0,,DAY($AA6+224))</f>
        <v>0</v>
      </c>
      <c r="E50" s="20">
        <f>IF(AF52-2&lt;0,,DAY($AA6+225))</f>
        <v>0</v>
      </c>
      <c r="F50" s="20">
        <f>IF(AF52-3&lt;0,,DAY($AA6+226))</f>
        <v>0</v>
      </c>
      <c r="G50" s="20">
        <f>IF(AF52-4&lt;0,,DAY($AA6+227))</f>
        <v>0</v>
      </c>
      <c r="H50" s="20">
        <f>IF(AF52-5&lt;0,,DAY($AA6+228))</f>
        <v>0</v>
      </c>
      <c r="I50" s="20">
        <f>IF(AF52-6&lt;0,,DAY($AA6+229))</f>
        <v>0</v>
      </c>
      <c r="J50" s="20">
        <f>IF(AF52-7&lt;0,,DAY($AA6+230))</f>
        <v>0</v>
      </c>
      <c r="K50" s="20">
        <f>IF(AF52-8&lt;0,,DAY($AA6+231))</f>
        <v>0</v>
      </c>
      <c r="L50" s="20">
        <f>IF(AF52-9&lt;0,,DAY($AA6+232))</f>
        <v>0</v>
      </c>
      <c r="M50" s="20">
        <f>IF(AF52-10&lt;0,,DAY($AA6+233))</f>
        <v>0</v>
      </c>
      <c r="N50" s="20">
        <f>IF(AF52-11&lt;0,,DAY($AA6+234))</f>
        <v>0</v>
      </c>
      <c r="O50" s="20">
        <f>IF(AF52-12&lt;0,,DAY($AA6+235))</f>
        <v>0</v>
      </c>
      <c r="P50" s="20">
        <f>IF(AF52-13&lt;0,,DAY($AA6+236))</f>
        <v>0</v>
      </c>
      <c r="Q50" s="20">
        <f>IF(AF52-14&lt;0,,DAY($AA6+237))</f>
        <v>0</v>
      </c>
      <c r="R50" s="20">
        <f>IF(AF52-15&lt;0,,DAY($AA6+238))</f>
        <v>0</v>
      </c>
      <c r="S50" s="20">
        <f>IF(AF52-16&lt;0,,DAY($AA6+239))</f>
        <v>0</v>
      </c>
      <c r="T50" s="20">
        <f>IF(AF52-17&lt;0,,DAY($AA6+240))</f>
        <v>0</v>
      </c>
      <c r="U50" s="20">
        <f>IF(AF52-18&lt;0,,DAY($AA6+241))</f>
        <v>0</v>
      </c>
      <c r="V50" s="20">
        <f>IF(AF52-19&lt;0,,DAY($AA6+242))</f>
        <v>0</v>
      </c>
      <c r="W50" s="20">
        <f>IF(AF52-20&lt;0,,DAY($AA6+243))</f>
        <v>0</v>
      </c>
      <c r="X50" s="20">
        <f>IF(AF52-21&lt;0,,DAY($AA6+244))</f>
        <v>0</v>
      </c>
      <c r="Y50" s="20">
        <f>IF(AF52-22&lt;0,,DAY($AA6+245))</f>
        <v>0</v>
      </c>
      <c r="Z50" s="20">
        <f>IF(AF52-23&lt;0,,DAY($AA6+246))</f>
        <v>0</v>
      </c>
      <c r="AA50" s="20">
        <f>IF(AF52-24&lt;0,,DAY($AA6+247))</f>
        <v>0</v>
      </c>
      <c r="AB50" s="20">
        <f>IF(AF52-25&lt;0,,DAY($AA6+248))</f>
        <v>0</v>
      </c>
      <c r="AC50" s="20">
        <f>IF(AF52-26&lt;0,,DAY($AA6+249))</f>
        <v>0</v>
      </c>
      <c r="AD50" s="20">
        <f>IF(AF52-27&lt;0,,DAY($AA6+250))</f>
        <v>0</v>
      </c>
      <c r="AE50" s="20">
        <f>IF(AF52-28&lt;0,,DAY($AA6+251))</f>
        <v>0</v>
      </c>
      <c r="AF50" s="26"/>
      <c r="AG50" s="27"/>
      <c r="AH50" s="47" t="s">
        <v>14</v>
      </c>
      <c r="AI50" s="48"/>
      <c r="AJ50" s="48"/>
      <c r="AK50" s="48"/>
      <c r="AL50" s="48"/>
      <c r="AM50" s="49"/>
      <c r="AN50" s="46"/>
      <c r="AO50" s="46"/>
    </row>
    <row r="51" spans="2:41" ht="24" x14ac:dyDescent="0.4">
      <c r="B51" s="40"/>
      <c r="C51" s="20" t="s">
        <v>16</v>
      </c>
      <c r="D51" s="20" t="str" cm="1">
        <f t="array" ref="D51">IF(D50&gt;0,_xlfn.SWITCH(AE46,"月","火","火","水","水","木","木","金","金","土","土","日","日","月"),"")</f>
        <v/>
      </c>
      <c r="E51" s="20" t="str" cm="1">
        <f t="array" ref="E51">IF(E50&gt;0,_xlfn.SWITCH(D51,"月","火","火","水","水","木","木","金","金","土","土","日","日","月"),"")</f>
        <v/>
      </c>
      <c r="F51" s="20" t="str" cm="1">
        <f t="array" ref="F51">IF(F50&gt;0,_xlfn.SWITCH(E51,"月","火","火","水","水","木","木","金","金","土","土","日","日","月"),"")</f>
        <v/>
      </c>
      <c r="G51" s="20" t="str" cm="1">
        <f t="array" ref="G51">IF(G50&gt;0,_xlfn.SWITCH(F51,"月","火","火","水","水","木","木","金","金","土","土","日","日","月"),"")</f>
        <v/>
      </c>
      <c r="H51" s="20" t="str" cm="1">
        <f t="array" ref="H51">IF(H50&gt;0,_xlfn.SWITCH(G51,"月","火","火","水","水","木","木","金","金","土","土","日","日","月"),"")</f>
        <v/>
      </c>
      <c r="I51" s="20" t="str" cm="1">
        <f t="array" ref="I51">IF(I50&gt;0,_xlfn.SWITCH(H51,"月","火","火","水","水","木","木","金","金","土","土","日","日","月"),"")</f>
        <v/>
      </c>
      <c r="J51" s="20" t="str" cm="1">
        <f t="array" ref="J51">IF(J50&gt;0,_xlfn.SWITCH(I51,"月","火","火","水","水","木","木","金","金","土","土","日","日","月"),"")</f>
        <v/>
      </c>
      <c r="K51" s="20" t="str" cm="1">
        <f t="array" ref="K51">IF(K50&gt;0,_xlfn.SWITCH(J51,"月","火","火","水","水","木","木","金","金","土","土","日","日","月"),"")</f>
        <v/>
      </c>
      <c r="L51" s="20" t="str" cm="1">
        <f t="array" ref="L51">IF(L50&gt;0,_xlfn.SWITCH(K51,"月","火","火","水","水","木","木","金","金","土","土","日","日","月"),"")</f>
        <v/>
      </c>
      <c r="M51" s="20" t="str" cm="1">
        <f t="array" ref="M51">IF(M50&gt;0,_xlfn.SWITCH(L51,"月","火","火","水","水","木","木","金","金","土","土","日","日","月"),"")</f>
        <v/>
      </c>
      <c r="N51" s="20" t="str" cm="1">
        <f t="array" ref="N51">IF(N50&gt;0,_xlfn.SWITCH(M51,"月","火","火","水","水","木","木","金","金","土","土","日","日","月"),"")</f>
        <v/>
      </c>
      <c r="O51" s="20" t="str" cm="1">
        <f t="array" ref="O51">IF(O50&gt;0,_xlfn.SWITCH(N51,"月","火","火","水","水","木","木","金","金","土","土","日","日","月"),"")</f>
        <v/>
      </c>
      <c r="P51" s="20" t="str" cm="1">
        <f t="array" ref="P51">IF(P50&gt;0,_xlfn.SWITCH(O51,"月","火","火","水","水","木","木","金","金","土","土","日","日","月"),"")</f>
        <v/>
      </c>
      <c r="Q51" s="20" t="str" cm="1">
        <f t="array" ref="Q51">IF(Q50&gt;0,_xlfn.SWITCH(P51,"月","火","火","水","水","木","木","金","金","土","土","日","日","月"),"")</f>
        <v/>
      </c>
      <c r="R51" s="20" t="str" cm="1">
        <f t="array" ref="R51">IF(R50&gt;0,_xlfn.SWITCH(Q51,"月","火","火","水","水","木","木","金","金","土","土","日","日","月"),"")</f>
        <v/>
      </c>
      <c r="S51" s="20" t="str" cm="1">
        <f t="array" ref="S51">IF(S50&gt;0,_xlfn.SWITCH(R51,"月","火","火","水","水","木","木","金","金","土","土","日","日","月"),"")</f>
        <v/>
      </c>
      <c r="T51" s="20" t="str" cm="1">
        <f t="array" ref="T51">IF(T50&gt;0,_xlfn.SWITCH(S51,"月","火","火","水","水","木","木","金","金","土","土","日","日","月"),"")</f>
        <v/>
      </c>
      <c r="U51" s="20" t="str" cm="1">
        <f t="array" ref="U51">IF(U50&gt;0,_xlfn.SWITCH(T51,"月","火","火","水","水","木","木","金","金","土","土","日","日","月"),"")</f>
        <v/>
      </c>
      <c r="V51" s="20" t="str" cm="1">
        <f t="array" ref="V51">IF(V50&gt;0,_xlfn.SWITCH(U51,"月","火","火","水","水","木","木","金","金","土","土","日","日","月"),"")</f>
        <v/>
      </c>
      <c r="W51" s="20" t="str" cm="1">
        <f t="array" ref="W51">IF(W50&gt;0,_xlfn.SWITCH(V51,"月","火","火","水","水","木","木","金","金","土","土","日","日","月"),"")</f>
        <v/>
      </c>
      <c r="X51" s="20" t="str" cm="1">
        <f t="array" ref="X51">IF(X50&gt;0,_xlfn.SWITCH(W51,"月","火","火","水","水","木","木","金","金","土","土","日","日","月"),"")</f>
        <v/>
      </c>
      <c r="Y51" s="20" t="str" cm="1">
        <f t="array" ref="Y51">IF(Y50&gt;0,_xlfn.SWITCH(X51,"月","火","火","水","水","木","木","金","金","土","土","日","日","月"),"")</f>
        <v/>
      </c>
      <c r="Z51" s="20" t="str" cm="1">
        <f t="array" ref="Z51">IF(Z50&gt;0,_xlfn.SWITCH(Y51,"月","火","火","水","水","木","木","金","金","土","土","日","日","月"),"")</f>
        <v/>
      </c>
      <c r="AA51" s="20" t="str" cm="1">
        <f t="array" ref="AA51">IF(AA50&gt;0,_xlfn.SWITCH(Z51,"月","火","火","水","水","木","木","金","金","土","土","日","日","月"),"")</f>
        <v/>
      </c>
      <c r="AB51" s="20" t="str" cm="1">
        <f t="array" ref="AB51">IF(AB50&gt;0,_xlfn.SWITCH(AA51,"月","火","火","水","水","木","木","金","金","土","土","日","日","月"),"")</f>
        <v/>
      </c>
      <c r="AC51" s="20" t="str" cm="1">
        <f t="array" ref="AC51">IF(AC50&gt;0,_xlfn.SWITCH(AB51,"月","火","火","水","水","木","木","金","金","土","土","日","日","月"),"")</f>
        <v/>
      </c>
      <c r="AD51" s="20" t="str" cm="1">
        <f t="array" ref="AD51">IF(AD50&gt;0,_xlfn.SWITCH(AC51,"月","火","火","水","水","木","木","金","金","土","土","日","日","月"),"")</f>
        <v/>
      </c>
      <c r="AE51" s="20" t="str" cm="1">
        <f t="array" ref="AE51">IF(AE50&gt;0,_xlfn.SWITCH(AD51,"月","火","火","水","水","木","木","金","金","土","土","日","日","月"),"")</f>
        <v/>
      </c>
      <c r="AF51" s="28"/>
      <c r="AG51" s="7"/>
      <c r="AH51" s="11"/>
      <c r="AI51" s="7"/>
      <c r="AJ51" s="50" t="s">
        <v>12</v>
      </c>
      <c r="AK51" s="51"/>
      <c r="AL51" s="51"/>
      <c r="AM51" s="52"/>
      <c r="AN51" s="46"/>
      <c r="AO51" s="46"/>
    </row>
    <row r="52" spans="2:41" ht="24" x14ac:dyDescent="0.4">
      <c r="B52" s="40"/>
      <c r="C52" s="19" t="s">
        <v>0</v>
      </c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31">
        <f>IF(AA6="",0,IF(_xlfn.DAYS(AI6,AA6)+1-224&gt;=28,28,IF(_xlfn.DAYS(AI6,AA6)+1-224&lt;0,0,_xlfn.DAYS(AI6,AA6)+1-224)))</f>
        <v>0</v>
      </c>
      <c r="AG52" s="33"/>
      <c r="AH52" s="53">
        <f>AF52-COUNTIF(D52:AE52,"×")</f>
        <v>0</v>
      </c>
      <c r="AI52" s="54"/>
      <c r="AJ52" s="31">
        <f>COUNTIF(D52:AE52,"●")</f>
        <v>0</v>
      </c>
      <c r="AK52" s="32"/>
      <c r="AL52" s="32"/>
      <c r="AM52" s="33"/>
      <c r="AN52" s="34" t="e">
        <f>AJ52/AH52</f>
        <v>#DIV/0!</v>
      </c>
      <c r="AO52" s="34"/>
    </row>
    <row r="53" spans="2:41" ht="24.75" thickBot="1" x14ac:dyDescent="0.45">
      <c r="B53" s="41"/>
      <c r="C53" s="21" t="s">
        <v>1</v>
      </c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35">
        <f>IF(AA6="",0,IF(_xlfn.DAYS(AI6,AA6)+1-224&gt;=28,28,IF(_xlfn.DAYS(AI6,AA6)+1-224&lt;0,0,_xlfn.DAYS(AI6,AA6)+1-224)))</f>
        <v>0</v>
      </c>
      <c r="AG53" s="36"/>
      <c r="AH53" s="35">
        <f>AF53-COUNTIF(D53:AE53,"×")</f>
        <v>0</v>
      </c>
      <c r="AI53" s="36"/>
      <c r="AJ53" s="35">
        <f>COUNTIF(D53:AE53,"●")</f>
        <v>0</v>
      </c>
      <c r="AK53" s="37"/>
      <c r="AL53" s="37"/>
      <c r="AM53" s="36"/>
      <c r="AN53" s="38" t="e">
        <f>AJ53/AH53</f>
        <v>#DIV/0!</v>
      </c>
      <c r="AO53" s="38"/>
    </row>
    <row r="54" spans="2:41" ht="24" x14ac:dyDescent="0.4">
      <c r="B54" s="40" t="s">
        <v>28</v>
      </c>
      <c r="C54" s="23" t="s">
        <v>15</v>
      </c>
      <c r="D54" s="20">
        <f>IF($AF$57-1&lt;0,,MONTH($AA$6+252))</f>
        <v>0</v>
      </c>
      <c r="E54" s="20">
        <f>IF($AF$57-2&lt;0,,MONTH($AA$6+253))</f>
        <v>0</v>
      </c>
      <c r="F54" s="20">
        <f>IF($AF$57-3&lt;0,,MONTH($AA$6+254))</f>
        <v>0</v>
      </c>
      <c r="G54" s="20">
        <f>IF($AF$57-4&lt;0,,MONTH($AA$6+255))</f>
        <v>0</v>
      </c>
      <c r="H54" s="20">
        <f>IF($AF$57-5&lt;0,,MONTH($AA$6+256))</f>
        <v>0</v>
      </c>
      <c r="I54" s="20">
        <f>IF($AF$57-6&lt;0,,MONTH($AA$6+257))</f>
        <v>0</v>
      </c>
      <c r="J54" s="20">
        <f>IF($AF$57-7&lt;0,,MONTH($AA$6+258))</f>
        <v>0</v>
      </c>
      <c r="K54" s="20">
        <f>IF($AF$57-8&lt;0,,MONTH($AA$6+259))</f>
        <v>0</v>
      </c>
      <c r="L54" s="20">
        <f>IF($AF$57-9&lt;0,,MONTH($AA$6+260))</f>
        <v>0</v>
      </c>
      <c r="M54" s="20">
        <f>IF($AF$57-10&lt;0,,MONTH($AA$6+261))</f>
        <v>0</v>
      </c>
      <c r="N54" s="20">
        <f>IF($AF$57-11&lt;0,,MONTH($AA$6+262))</f>
        <v>0</v>
      </c>
      <c r="O54" s="20">
        <f>IF($AF$57-12&lt;0,,MONTH($AA$6+263))</f>
        <v>0</v>
      </c>
      <c r="P54" s="20">
        <f>IF($AF$57-13&lt;0,,MONTH($AA$6+264))</f>
        <v>0</v>
      </c>
      <c r="Q54" s="20">
        <f>IF($AF$57-14&lt;0,,MONTH($AA$6+265))</f>
        <v>0</v>
      </c>
      <c r="R54" s="20">
        <f>IF($AF$57-15&lt;0,,MONTH($AA$6+266))</f>
        <v>0</v>
      </c>
      <c r="S54" s="20">
        <f>IF($AF$57-16&lt;0,,MONTH($AA$6+267))</f>
        <v>0</v>
      </c>
      <c r="T54" s="20">
        <f>IF($AF$57-17&lt;0,,MONTH($AA$6+268))</f>
        <v>0</v>
      </c>
      <c r="U54" s="20">
        <f>IF($AF$57-18&lt;0,,MONTH($AA$6+269))</f>
        <v>0</v>
      </c>
      <c r="V54" s="20">
        <f>IF($AF$57-19&lt;0,,MONTH($AA$6+270))</f>
        <v>0</v>
      </c>
      <c r="W54" s="20">
        <f>IF($AF$57-20&lt;0,,MONTH($AA$6+271))</f>
        <v>0</v>
      </c>
      <c r="X54" s="20">
        <f>IF($AF$57-21&lt;0,,MONTH($AA$6+272))</f>
        <v>0</v>
      </c>
      <c r="Y54" s="20">
        <f>IF($AF$57-22&lt;0,,MONTH($AA$6+273))</f>
        <v>0</v>
      </c>
      <c r="Z54" s="20">
        <f>IF($AF$57-23&lt;0,,MONTH($AA$6+274))</f>
        <v>0</v>
      </c>
      <c r="AA54" s="20">
        <f>IF($AF$57-24&lt;0,,MONTH($AA$6+275))</f>
        <v>0</v>
      </c>
      <c r="AB54" s="20">
        <f>IF($AF$57-25&lt;0,,MONTH($AA$6+276))</f>
        <v>0</v>
      </c>
      <c r="AC54" s="20">
        <f>IF($AF$57-26&lt;0,,MONTH($AA$6+277))</f>
        <v>0</v>
      </c>
      <c r="AD54" s="20">
        <f>IF($AF$57-27&lt;0,,MONTH($AA$6+278))</f>
        <v>0</v>
      </c>
      <c r="AE54" s="20">
        <f>IF($AF$57-28&lt;0,,MONTH($AA$6+279))</f>
        <v>0</v>
      </c>
      <c r="AF54" s="55" t="s">
        <v>39</v>
      </c>
      <c r="AG54" s="56"/>
      <c r="AH54" s="56"/>
      <c r="AI54" s="56"/>
      <c r="AJ54" s="56"/>
      <c r="AK54" s="56"/>
      <c r="AL54" s="56"/>
      <c r="AM54" s="57"/>
      <c r="AN54" s="58" t="s">
        <v>5</v>
      </c>
      <c r="AO54" s="58"/>
    </row>
    <row r="55" spans="2:41" ht="24" x14ac:dyDescent="0.4">
      <c r="B55" s="40"/>
      <c r="C55" s="20" t="s">
        <v>11</v>
      </c>
      <c r="D55" s="20">
        <f>IF($AF$57-1&lt;0,,DAY($AA$6+252))</f>
        <v>0</v>
      </c>
      <c r="E55" s="20">
        <f>IF($AF$57-2&lt;0,,DAY($AA$6+253))</f>
        <v>0</v>
      </c>
      <c r="F55" s="20">
        <f>IF($AF$57-3&lt;0,,DAY($AA$6+254))</f>
        <v>0</v>
      </c>
      <c r="G55" s="20">
        <f>IF($AF$57-4&lt;0,,DAY($AA$6+255))</f>
        <v>0</v>
      </c>
      <c r="H55" s="20">
        <f>IF($AF$57-5&lt;0,,DAY($AA$6+256))</f>
        <v>0</v>
      </c>
      <c r="I55" s="20">
        <f>IF($AF$57-6&lt;0,,DAY($AA$6+257))</f>
        <v>0</v>
      </c>
      <c r="J55" s="20">
        <f>IF($AF$57-7&lt;0,,DAY($AA$6+258))</f>
        <v>0</v>
      </c>
      <c r="K55" s="20">
        <f>IF($AF$57-8&lt;0,,DAY($AA$6+259))</f>
        <v>0</v>
      </c>
      <c r="L55" s="20">
        <f>IF($AF$57-9&lt;0,,DAY($AA$6+260))</f>
        <v>0</v>
      </c>
      <c r="M55" s="20">
        <f>IF($AF$57-10&lt;0,,DAY($AA$6+261))</f>
        <v>0</v>
      </c>
      <c r="N55" s="20">
        <f>IF($AF$57-11&lt;0,,DAY($AA$6+262))</f>
        <v>0</v>
      </c>
      <c r="O55" s="20">
        <f>IF($AF$57-12&lt;0,,DAY($AA$6+263))</f>
        <v>0</v>
      </c>
      <c r="P55" s="20">
        <f>IF($AF$57-13&lt;0,,DAY($AA$6+264))</f>
        <v>0</v>
      </c>
      <c r="Q55" s="20">
        <f>IF($AF$57-14&lt;0,,DAY($AA$6+265))</f>
        <v>0</v>
      </c>
      <c r="R55" s="20">
        <f>IF($AF$57-15&lt;0,,DAY($AA$6+266))</f>
        <v>0</v>
      </c>
      <c r="S55" s="20">
        <f>IF($AF$57-16&lt;0,,DAY($AA$6+267))</f>
        <v>0</v>
      </c>
      <c r="T55" s="20">
        <f>IF($AF$57-17&lt;0,,DAY($AA$6+268))</f>
        <v>0</v>
      </c>
      <c r="U55" s="20">
        <f>IF($AF$57-18&lt;0,,DAY($AA$6+269))</f>
        <v>0</v>
      </c>
      <c r="V55" s="20">
        <f>IF($AF$57-19&lt;0,,DAY($AA$6+270))</f>
        <v>0</v>
      </c>
      <c r="W55" s="20">
        <f>IF($AF$57-20&lt;0,,DAY($AA$6+271))</f>
        <v>0</v>
      </c>
      <c r="X55" s="20">
        <f>IF($AF$57-21&lt;0,,DAY($AA$6+272))</f>
        <v>0</v>
      </c>
      <c r="Y55" s="20">
        <f>IF($AF$57-22&lt;0,,DAY($AA$6+273))</f>
        <v>0</v>
      </c>
      <c r="Z55" s="20">
        <f>IF($AF$57-23&lt;0,,DAY($AA$6+274))</f>
        <v>0</v>
      </c>
      <c r="AA55" s="20">
        <f>IF($AF$57-24&lt;0,,DAY($AA$6+275))</f>
        <v>0</v>
      </c>
      <c r="AB55" s="20">
        <f>IF($AF$57-25&lt;0,,DAY($AA$6+276))</f>
        <v>0</v>
      </c>
      <c r="AC55" s="20">
        <f>IF($AF$57-26&lt;0,,DAY($AA$6+277))</f>
        <v>0</v>
      </c>
      <c r="AD55" s="20">
        <f>IF($AF$57-27&lt;0,,DAY($AA$6+278))</f>
        <v>0</v>
      </c>
      <c r="AE55" s="20">
        <f>IF($AF$57-28&lt;0,,DAY($AA$6+279))</f>
        <v>0</v>
      </c>
      <c r="AF55" s="26"/>
      <c r="AG55" s="27"/>
      <c r="AH55" s="47" t="s">
        <v>14</v>
      </c>
      <c r="AI55" s="48"/>
      <c r="AJ55" s="48"/>
      <c r="AK55" s="48"/>
      <c r="AL55" s="48"/>
      <c r="AM55" s="49"/>
      <c r="AN55" s="46"/>
      <c r="AO55" s="46"/>
    </row>
    <row r="56" spans="2:41" ht="24" x14ac:dyDescent="0.4">
      <c r="B56" s="40"/>
      <c r="C56" s="20" t="s">
        <v>16</v>
      </c>
      <c r="D56" s="20" t="str" cm="1">
        <f t="array" ref="D56">IF(D55&gt;0,_xlfn.SWITCH(AE51,"月","火","火","水","水","木","木","金","金","土","土","日","日","月"),"")</f>
        <v/>
      </c>
      <c r="E56" s="20" t="str" cm="1">
        <f t="array" ref="E56">IF(E55&gt;0,_xlfn.SWITCH(D56,"月","火","火","水","水","木","木","金","金","土","土","日","日","月"),"")</f>
        <v/>
      </c>
      <c r="F56" s="20" t="str" cm="1">
        <f t="array" ref="F56">IF(F55&gt;0,_xlfn.SWITCH(E56,"月","火","火","水","水","木","木","金","金","土","土","日","日","月"),"")</f>
        <v/>
      </c>
      <c r="G56" s="20" t="str" cm="1">
        <f t="array" ref="G56">IF(G55&gt;0,_xlfn.SWITCH(F56,"月","火","火","水","水","木","木","金","金","土","土","日","日","月"),"")</f>
        <v/>
      </c>
      <c r="H56" s="20" t="str" cm="1">
        <f t="array" ref="H56">IF(H55&gt;0,_xlfn.SWITCH(G56,"月","火","火","水","水","木","木","金","金","土","土","日","日","月"),"")</f>
        <v/>
      </c>
      <c r="I56" s="20" t="str" cm="1">
        <f t="array" ref="I56">IF(I55&gt;0,_xlfn.SWITCH(H56,"月","火","火","水","水","木","木","金","金","土","土","日","日","月"),"")</f>
        <v/>
      </c>
      <c r="J56" s="20" t="str" cm="1">
        <f t="array" ref="J56">IF(J55&gt;0,_xlfn.SWITCH(I56,"月","火","火","水","水","木","木","金","金","土","土","日","日","月"),"")</f>
        <v/>
      </c>
      <c r="K56" s="20" t="str" cm="1">
        <f t="array" ref="K56">IF(K55&gt;0,_xlfn.SWITCH(J56,"月","火","火","水","水","木","木","金","金","土","土","日","日","月"),"")</f>
        <v/>
      </c>
      <c r="L56" s="20" t="str" cm="1">
        <f t="array" ref="L56">IF(L55&gt;0,_xlfn.SWITCH(K56,"月","火","火","水","水","木","木","金","金","土","土","日","日","月"),"")</f>
        <v/>
      </c>
      <c r="M56" s="20" t="str" cm="1">
        <f t="array" ref="M56">IF(M55&gt;0,_xlfn.SWITCH(L56,"月","火","火","水","水","木","木","金","金","土","土","日","日","月"),"")</f>
        <v/>
      </c>
      <c r="N56" s="20" t="str" cm="1">
        <f t="array" ref="N56">IF(N55&gt;0,_xlfn.SWITCH(M56,"月","火","火","水","水","木","木","金","金","土","土","日","日","月"),"")</f>
        <v/>
      </c>
      <c r="O56" s="20" t="str" cm="1">
        <f t="array" ref="O56">IF(O55&gt;0,_xlfn.SWITCH(N56,"月","火","火","水","水","木","木","金","金","土","土","日","日","月"),"")</f>
        <v/>
      </c>
      <c r="P56" s="20" t="str" cm="1">
        <f t="array" ref="P56">IF(P55&gt;0,_xlfn.SWITCH(O56,"月","火","火","水","水","木","木","金","金","土","土","日","日","月"),"")</f>
        <v/>
      </c>
      <c r="Q56" s="20" t="str" cm="1">
        <f t="array" ref="Q56">IF(Q55&gt;0,_xlfn.SWITCH(P56,"月","火","火","水","水","木","木","金","金","土","土","日","日","月"),"")</f>
        <v/>
      </c>
      <c r="R56" s="20" t="str" cm="1">
        <f t="array" ref="R56">IF(R55&gt;0,_xlfn.SWITCH(Q56,"月","火","火","水","水","木","木","金","金","土","土","日","日","月"),"")</f>
        <v/>
      </c>
      <c r="S56" s="20" t="str" cm="1">
        <f t="array" ref="S56">IF(S55&gt;0,_xlfn.SWITCH(R56,"月","火","火","水","水","木","木","金","金","土","土","日","日","月"),"")</f>
        <v/>
      </c>
      <c r="T56" s="20" t="str" cm="1">
        <f t="array" ref="T56">IF(T55&gt;0,_xlfn.SWITCH(S56,"月","火","火","水","水","木","木","金","金","土","土","日","日","月"),"")</f>
        <v/>
      </c>
      <c r="U56" s="20" t="str" cm="1">
        <f t="array" ref="U56">IF(U55&gt;0,_xlfn.SWITCH(T56,"月","火","火","水","水","木","木","金","金","土","土","日","日","月"),"")</f>
        <v/>
      </c>
      <c r="V56" s="20" t="str" cm="1">
        <f t="array" ref="V56">IF(V55&gt;0,_xlfn.SWITCH(U56,"月","火","火","水","水","木","木","金","金","土","土","日","日","月"),"")</f>
        <v/>
      </c>
      <c r="W56" s="20" t="str" cm="1">
        <f t="array" ref="W56">IF(W55&gt;0,_xlfn.SWITCH(V56,"月","火","火","水","水","木","木","金","金","土","土","日","日","月"),"")</f>
        <v/>
      </c>
      <c r="X56" s="20" t="str" cm="1">
        <f t="array" ref="X56">IF(X55&gt;0,_xlfn.SWITCH(W56,"月","火","火","水","水","木","木","金","金","土","土","日","日","月"),"")</f>
        <v/>
      </c>
      <c r="Y56" s="20" t="str" cm="1">
        <f t="array" ref="Y56">IF(Y55&gt;0,_xlfn.SWITCH(X56,"月","火","火","水","水","木","木","金","金","土","土","日","日","月"),"")</f>
        <v/>
      </c>
      <c r="Z56" s="20" t="str" cm="1">
        <f t="array" ref="Z56">IF(Z55&gt;0,_xlfn.SWITCH(Y56,"月","火","火","水","水","木","木","金","金","土","土","日","日","月"),"")</f>
        <v/>
      </c>
      <c r="AA56" s="20" t="str" cm="1">
        <f t="array" ref="AA56">IF(AA55&gt;0,_xlfn.SWITCH(Z56,"月","火","火","水","水","木","木","金","金","土","土","日","日","月"),"")</f>
        <v/>
      </c>
      <c r="AB56" s="20" t="str" cm="1">
        <f t="array" ref="AB56">IF(AB55&gt;0,_xlfn.SWITCH(AA56,"月","火","火","水","水","木","木","金","金","土","土","日","日","月"),"")</f>
        <v/>
      </c>
      <c r="AC56" s="20" t="str" cm="1">
        <f t="array" ref="AC56">IF(AC55&gt;0,_xlfn.SWITCH(AB56,"月","火","火","水","水","木","木","金","金","土","土","日","日","月"),"")</f>
        <v/>
      </c>
      <c r="AD56" s="20" t="str" cm="1">
        <f t="array" ref="AD56">IF(AD55&gt;0,_xlfn.SWITCH(AC56,"月","火","火","水","水","木","木","金","金","土","土","日","日","月"),"")</f>
        <v/>
      </c>
      <c r="AE56" s="20" t="str" cm="1">
        <f t="array" ref="AE56">IF(AE55&gt;0,_xlfn.SWITCH(AD56,"月","火","火","水","水","木","木","金","金","土","土","日","日","月"),"")</f>
        <v/>
      </c>
      <c r="AF56" s="28"/>
      <c r="AG56" s="7"/>
      <c r="AH56" s="11"/>
      <c r="AI56" s="7"/>
      <c r="AJ56" s="50" t="s">
        <v>12</v>
      </c>
      <c r="AK56" s="51"/>
      <c r="AL56" s="51"/>
      <c r="AM56" s="52"/>
      <c r="AN56" s="46"/>
      <c r="AO56" s="46"/>
    </row>
    <row r="57" spans="2:41" ht="24" x14ac:dyDescent="0.4">
      <c r="B57" s="40"/>
      <c r="C57" s="19" t="s">
        <v>0</v>
      </c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31">
        <f>IF(AA6="",0,IF(_xlfn.DAYS(AI6,AA6)+1-252&gt;=28,28,IF(_xlfn.DAYS(AI6,AA6)+1-252&lt;0,0,_xlfn.DAYS(AI6,AA6)+1-252)))</f>
        <v>0</v>
      </c>
      <c r="AG57" s="33"/>
      <c r="AH57" s="53">
        <f>AF57-COUNTIF(D57:AE57,"×")</f>
        <v>0</v>
      </c>
      <c r="AI57" s="54"/>
      <c r="AJ57" s="31">
        <f>COUNTIF(D57:AE57,"●")</f>
        <v>0</v>
      </c>
      <c r="AK57" s="32"/>
      <c r="AL57" s="32"/>
      <c r="AM57" s="33"/>
      <c r="AN57" s="34" t="e">
        <f>AJ57/AH57</f>
        <v>#DIV/0!</v>
      </c>
      <c r="AO57" s="34"/>
    </row>
    <row r="58" spans="2:41" ht="24.75" thickBot="1" x14ac:dyDescent="0.45">
      <c r="B58" s="41"/>
      <c r="C58" s="21" t="s">
        <v>1</v>
      </c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35">
        <f>IF(AA6="",0,IF(_xlfn.DAYS(AI6,AA6)+1-252&gt;=28,28,IF(_xlfn.DAYS(AI6,AA6)+1-252&lt;0,0,_xlfn.DAYS(AI6,AA6)+1-252)))</f>
        <v>0</v>
      </c>
      <c r="AG58" s="36"/>
      <c r="AH58" s="35">
        <f>AF58-COUNTIF(D58:AE58,"×")</f>
        <v>0</v>
      </c>
      <c r="AI58" s="36"/>
      <c r="AJ58" s="35">
        <f>COUNTIF(D58:AE58,"●")</f>
        <v>0</v>
      </c>
      <c r="AK58" s="37"/>
      <c r="AL58" s="37"/>
      <c r="AM58" s="36"/>
      <c r="AN58" s="38" t="e">
        <f>AJ58/AH58</f>
        <v>#DIV/0!</v>
      </c>
      <c r="AO58" s="38"/>
    </row>
    <row r="59" spans="2:41" ht="24" x14ac:dyDescent="0.4">
      <c r="B59" s="40" t="s">
        <v>29</v>
      </c>
      <c r="C59" s="23" t="s">
        <v>15</v>
      </c>
      <c r="D59" s="20">
        <f>IF($AF$62-1&lt;0,,MONTH($AA$6+280))</f>
        <v>0</v>
      </c>
      <c r="E59" s="20">
        <f>IF($AF$62-2&lt;0,,MONTH($AA$6+281))</f>
        <v>0</v>
      </c>
      <c r="F59" s="20">
        <f>IF($AF$62-3&lt;0,,MONTH($AA$6+282))</f>
        <v>0</v>
      </c>
      <c r="G59" s="20">
        <f>IF($AF$62-4&lt;0,,MONTH($AA$6+283))</f>
        <v>0</v>
      </c>
      <c r="H59" s="20">
        <f>IF($AF$62-5&lt;0,,MONTH($AA$6+284))</f>
        <v>0</v>
      </c>
      <c r="I59" s="20">
        <f>IF($AF$62-6&lt;0,,MONTH($AA$6+285))</f>
        <v>0</v>
      </c>
      <c r="J59" s="20">
        <f>IF($AF$62-7&lt;0,,MONTH($AA$6+286))</f>
        <v>0</v>
      </c>
      <c r="K59" s="20">
        <f>IF($AF$62-8&lt;0,,MONTH($AA$6+287))</f>
        <v>0</v>
      </c>
      <c r="L59" s="20">
        <f>IF($AF$62-9&lt;0,,MONTH($AA$6+288))</f>
        <v>0</v>
      </c>
      <c r="M59" s="20">
        <f>IF($AF$62-10&lt;0,,MONTH($AA$6+289))</f>
        <v>0</v>
      </c>
      <c r="N59" s="20">
        <f>IF($AF$62-11&lt;0,,MONTH($AA$6+290))</f>
        <v>0</v>
      </c>
      <c r="O59" s="20">
        <f>IF($AF$62-12&lt;0,,MONTH($AA$6+291))</f>
        <v>0</v>
      </c>
      <c r="P59" s="20">
        <f>IF($AF$62-13&lt;0,,MONTH($AA$6+292))</f>
        <v>0</v>
      </c>
      <c r="Q59" s="20">
        <f>IF($AF$62-14&lt;0,,MONTH($AA$6+293))</f>
        <v>0</v>
      </c>
      <c r="R59" s="20">
        <f>IF($AF$62-15&lt;0,,MONTH($AA$6+294))</f>
        <v>0</v>
      </c>
      <c r="S59" s="20">
        <f>IF($AF$62-16&lt;0,,MONTH($AA$6+295))</f>
        <v>0</v>
      </c>
      <c r="T59" s="20">
        <f>IF($AF$62-17&lt;0,,MONTH($AA$6+296))</f>
        <v>0</v>
      </c>
      <c r="U59" s="20">
        <f>IF($AF$62-18&lt;0,,MONTH($AA$6+297))</f>
        <v>0</v>
      </c>
      <c r="V59" s="20">
        <f>IF($AF$62-19&lt;0,,MONTH($AA$6+298))</f>
        <v>0</v>
      </c>
      <c r="W59" s="20">
        <f>IF($AF$62-20&lt;0,,MONTH($AA$6+299))</f>
        <v>0</v>
      </c>
      <c r="X59" s="20">
        <f>IF($AF$62-21&lt;0,,MONTH($AA$6+300))</f>
        <v>0</v>
      </c>
      <c r="Y59" s="20">
        <f>IF($AF$62-22&lt;0,,MONTH($AA$6+301))</f>
        <v>0</v>
      </c>
      <c r="Z59" s="20">
        <f>IF($AF$62-23&lt;0,,MONTH($AA$6+302))</f>
        <v>0</v>
      </c>
      <c r="AA59" s="20">
        <f>IF($AF$62-24&lt;0,,MONTH($AA$6+303))</f>
        <v>0</v>
      </c>
      <c r="AB59" s="20">
        <f>IF($AF$62-25&lt;0,,MONTH($AA$6+304))</f>
        <v>0</v>
      </c>
      <c r="AC59" s="20">
        <f>IF($AF$62-26&lt;0,,MONTH($AA$6+305))</f>
        <v>0</v>
      </c>
      <c r="AD59" s="20">
        <f>IF($AF$62-27&lt;0,,MONTH($AA$6+306))</f>
        <v>0</v>
      </c>
      <c r="AE59" s="20">
        <f>IF($AF$62-28&lt;0,,MONTH($AA$6+307))</f>
        <v>0</v>
      </c>
      <c r="AF59" s="55" t="s">
        <v>39</v>
      </c>
      <c r="AG59" s="56"/>
      <c r="AH59" s="56"/>
      <c r="AI59" s="56"/>
      <c r="AJ59" s="56"/>
      <c r="AK59" s="56"/>
      <c r="AL59" s="56"/>
      <c r="AM59" s="57"/>
      <c r="AN59" s="58" t="s">
        <v>5</v>
      </c>
      <c r="AO59" s="58"/>
    </row>
    <row r="60" spans="2:41" ht="24" x14ac:dyDescent="0.4">
      <c r="B60" s="40"/>
      <c r="C60" s="20" t="s">
        <v>11</v>
      </c>
      <c r="D60" s="20">
        <f>IF($AF$62-1&lt;0,,DAY($AA$6+280))</f>
        <v>0</v>
      </c>
      <c r="E60" s="20">
        <f>IF($AF$62-2&lt;0,,DAY($AA$6+281))</f>
        <v>0</v>
      </c>
      <c r="F60" s="20">
        <f>IF($AF$62-3&lt;0,,DAY($AA$6+282))</f>
        <v>0</v>
      </c>
      <c r="G60" s="20">
        <f>IF($AF$62-4&lt;0,,DAY($AA$6+283))</f>
        <v>0</v>
      </c>
      <c r="H60" s="20">
        <f>IF($AF$62-5&lt;0,,DAY($AA$6+284))</f>
        <v>0</v>
      </c>
      <c r="I60" s="20">
        <f>IF($AF$62-6&lt;0,,DAY($AA$6+285))</f>
        <v>0</v>
      </c>
      <c r="J60" s="20">
        <f>IF($AF$62-7&lt;0,,DAY($AA$6+286))</f>
        <v>0</v>
      </c>
      <c r="K60" s="20">
        <f>IF($AF$62-8&lt;0,,DAY($AA$6+287))</f>
        <v>0</v>
      </c>
      <c r="L60" s="20">
        <f>IF($AF$62-9&lt;0,,DAY($AA$6+288))</f>
        <v>0</v>
      </c>
      <c r="M60" s="20">
        <f>IF($AF$62-10&lt;0,,DAY($AA$6+289))</f>
        <v>0</v>
      </c>
      <c r="N60" s="20">
        <f>IF($AF$62-11&lt;0,,DAY($AA$6+290))</f>
        <v>0</v>
      </c>
      <c r="O60" s="20">
        <f>IF($AF$62-12&lt;0,,DAY($AA$6+291))</f>
        <v>0</v>
      </c>
      <c r="P60" s="20">
        <f>IF($AF$62-13&lt;0,,DAY($AA$6+292))</f>
        <v>0</v>
      </c>
      <c r="Q60" s="20">
        <f>IF($AF$62-14&lt;0,,DAY($AA$6+293))</f>
        <v>0</v>
      </c>
      <c r="R60" s="20">
        <f>IF($AF$62-15&lt;0,,DAY($AA$6+294))</f>
        <v>0</v>
      </c>
      <c r="S60" s="20">
        <f>IF($AF$62-16&lt;0,,DAY($AA$6+295))</f>
        <v>0</v>
      </c>
      <c r="T60" s="20">
        <f>IF($AF$62-17&lt;0,,DAY($AA$6+296))</f>
        <v>0</v>
      </c>
      <c r="U60" s="20">
        <f>IF($AF$62-18&lt;0,,DAY($AA$6+297))</f>
        <v>0</v>
      </c>
      <c r="V60" s="20">
        <f>IF($AF$62-19&lt;0,,DAY($AA$6+298))</f>
        <v>0</v>
      </c>
      <c r="W60" s="20">
        <f>IF($AF$62-20&lt;0,,DAY($AA$6+299))</f>
        <v>0</v>
      </c>
      <c r="X60" s="20">
        <f>IF($AF$62-21&lt;0,,DAY($AA$6+300))</f>
        <v>0</v>
      </c>
      <c r="Y60" s="20">
        <f>IF($AF$62-22&lt;0,,DAY($AA$6+301))</f>
        <v>0</v>
      </c>
      <c r="Z60" s="20">
        <f>IF($AF$62-23&lt;0,,DAY($AA$6+302))</f>
        <v>0</v>
      </c>
      <c r="AA60" s="20">
        <f>IF($AF$62-24&lt;0,,DAY($AA$6+303))</f>
        <v>0</v>
      </c>
      <c r="AB60" s="20">
        <f>IF($AF$62-25&lt;0,,DAY($AA$6+304))</f>
        <v>0</v>
      </c>
      <c r="AC60" s="20">
        <f>IF($AF$62-26&lt;0,,DAY($AA$6+305))</f>
        <v>0</v>
      </c>
      <c r="AD60" s="20">
        <f>IF($AF$62-27&lt;0,,DAY($AA$6+306))</f>
        <v>0</v>
      </c>
      <c r="AE60" s="20">
        <f>IF($AF$62-28&lt;0,,DAY($AA$6+307))</f>
        <v>0</v>
      </c>
      <c r="AF60" s="26"/>
      <c r="AG60" s="27"/>
      <c r="AH60" s="47" t="s">
        <v>14</v>
      </c>
      <c r="AI60" s="48"/>
      <c r="AJ60" s="48"/>
      <c r="AK60" s="48"/>
      <c r="AL60" s="48"/>
      <c r="AM60" s="49"/>
      <c r="AN60" s="46"/>
      <c r="AO60" s="46"/>
    </row>
    <row r="61" spans="2:41" ht="24" x14ac:dyDescent="0.4">
      <c r="B61" s="40"/>
      <c r="C61" s="20" t="s">
        <v>16</v>
      </c>
      <c r="D61" s="20" t="str" cm="1">
        <f t="array" ref="D61">IF(D60&gt;0,_xlfn.SWITCH(AE56,"月","火","火","水","水","木","木","金","金","土","土","日","日","月"),"")</f>
        <v/>
      </c>
      <c r="E61" s="20" t="str" cm="1">
        <f t="array" ref="E61">IF(E60&gt;0,_xlfn.SWITCH(D61,"月","火","火","水","水","木","木","金","金","土","土","日","日","月"),"")</f>
        <v/>
      </c>
      <c r="F61" s="20" t="str" cm="1">
        <f t="array" ref="F61">IF(F60&gt;0,_xlfn.SWITCH(E61,"月","火","火","水","水","木","木","金","金","土","土","日","日","月"),"")</f>
        <v/>
      </c>
      <c r="G61" s="20" t="str" cm="1">
        <f t="array" ref="G61">IF(G60&gt;0,_xlfn.SWITCH(F61,"月","火","火","水","水","木","木","金","金","土","土","日","日","月"),"")</f>
        <v/>
      </c>
      <c r="H61" s="20" t="str" cm="1">
        <f t="array" ref="H61">IF(H60&gt;0,_xlfn.SWITCH(G61,"月","火","火","水","水","木","木","金","金","土","土","日","日","月"),"")</f>
        <v/>
      </c>
      <c r="I61" s="20" t="str" cm="1">
        <f t="array" ref="I61">IF(I60&gt;0,_xlfn.SWITCH(H61,"月","火","火","水","水","木","木","金","金","土","土","日","日","月"),"")</f>
        <v/>
      </c>
      <c r="J61" s="20" t="str" cm="1">
        <f t="array" ref="J61">IF(J60&gt;0,_xlfn.SWITCH(I61,"月","火","火","水","水","木","木","金","金","土","土","日","日","月"),"")</f>
        <v/>
      </c>
      <c r="K61" s="20" t="str" cm="1">
        <f t="array" ref="K61">IF(K60&gt;0,_xlfn.SWITCH(J61,"月","火","火","水","水","木","木","金","金","土","土","日","日","月"),"")</f>
        <v/>
      </c>
      <c r="L61" s="20" t="str" cm="1">
        <f t="array" ref="L61">IF(L60&gt;0,_xlfn.SWITCH(K61,"月","火","火","水","水","木","木","金","金","土","土","日","日","月"),"")</f>
        <v/>
      </c>
      <c r="M61" s="20" t="str" cm="1">
        <f t="array" ref="M61">IF(M60&gt;0,_xlfn.SWITCH(L61,"月","火","火","水","水","木","木","金","金","土","土","日","日","月"),"")</f>
        <v/>
      </c>
      <c r="N61" s="20" t="str" cm="1">
        <f t="array" ref="N61">IF(N60&gt;0,_xlfn.SWITCH(M61,"月","火","火","水","水","木","木","金","金","土","土","日","日","月"),"")</f>
        <v/>
      </c>
      <c r="O61" s="20" t="str" cm="1">
        <f t="array" ref="O61">IF(O60&gt;0,_xlfn.SWITCH(N61,"月","火","火","水","水","木","木","金","金","土","土","日","日","月"),"")</f>
        <v/>
      </c>
      <c r="P61" s="20" t="str" cm="1">
        <f t="array" ref="P61">IF(P60&gt;0,_xlfn.SWITCH(O61,"月","火","火","水","水","木","木","金","金","土","土","日","日","月"),"")</f>
        <v/>
      </c>
      <c r="Q61" s="20" t="str" cm="1">
        <f t="array" ref="Q61">IF(Q60&gt;0,_xlfn.SWITCH(P61,"月","火","火","水","水","木","木","金","金","土","土","日","日","月"),"")</f>
        <v/>
      </c>
      <c r="R61" s="20" t="str" cm="1">
        <f t="array" ref="R61">IF(R60&gt;0,_xlfn.SWITCH(Q61,"月","火","火","水","水","木","木","金","金","土","土","日","日","月"),"")</f>
        <v/>
      </c>
      <c r="S61" s="20" t="str" cm="1">
        <f t="array" ref="S61">IF(S60&gt;0,_xlfn.SWITCH(R61,"月","火","火","水","水","木","木","金","金","土","土","日","日","月"),"")</f>
        <v/>
      </c>
      <c r="T61" s="20" t="str" cm="1">
        <f t="array" ref="T61">IF(T60&gt;0,_xlfn.SWITCH(S61,"月","火","火","水","水","木","木","金","金","土","土","日","日","月"),"")</f>
        <v/>
      </c>
      <c r="U61" s="20" t="str" cm="1">
        <f t="array" ref="U61">IF(U60&gt;0,_xlfn.SWITCH(T61,"月","火","火","水","水","木","木","金","金","土","土","日","日","月"),"")</f>
        <v/>
      </c>
      <c r="V61" s="20" t="str" cm="1">
        <f t="array" ref="V61">IF(V60&gt;0,_xlfn.SWITCH(U61,"月","火","火","水","水","木","木","金","金","土","土","日","日","月"),"")</f>
        <v/>
      </c>
      <c r="W61" s="20" t="str" cm="1">
        <f t="array" ref="W61">IF(W60&gt;0,_xlfn.SWITCH(V61,"月","火","火","水","水","木","木","金","金","土","土","日","日","月"),"")</f>
        <v/>
      </c>
      <c r="X61" s="20" t="str" cm="1">
        <f t="array" ref="X61">IF(X60&gt;0,_xlfn.SWITCH(W61,"月","火","火","水","水","木","木","金","金","土","土","日","日","月"),"")</f>
        <v/>
      </c>
      <c r="Y61" s="20" t="str" cm="1">
        <f t="array" ref="Y61">IF(Y60&gt;0,_xlfn.SWITCH(X61,"月","火","火","水","水","木","木","金","金","土","土","日","日","月"),"")</f>
        <v/>
      </c>
      <c r="Z61" s="20" t="str" cm="1">
        <f t="array" ref="Z61">IF(Z60&gt;0,_xlfn.SWITCH(Y61,"月","火","火","水","水","木","木","金","金","土","土","日","日","月"),"")</f>
        <v/>
      </c>
      <c r="AA61" s="20" t="str" cm="1">
        <f t="array" ref="AA61">IF(AA60&gt;0,_xlfn.SWITCH(Z61,"月","火","火","水","水","木","木","金","金","土","土","日","日","月"),"")</f>
        <v/>
      </c>
      <c r="AB61" s="20" t="str" cm="1">
        <f t="array" ref="AB61">IF(AB60&gt;0,_xlfn.SWITCH(AA61,"月","火","火","水","水","木","木","金","金","土","土","日","日","月"),"")</f>
        <v/>
      </c>
      <c r="AC61" s="20" t="str" cm="1">
        <f t="array" ref="AC61">IF(AC60&gt;0,_xlfn.SWITCH(AB61,"月","火","火","水","水","木","木","金","金","土","土","日","日","月"),"")</f>
        <v/>
      </c>
      <c r="AD61" s="20" t="str" cm="1">
        <f t="array" ref="AD61">IF(AD60&gt;0,_xlfn.SWITCH(AC61,"月","火","火","水","水","木","木","金","金","土","土","日","日","月"),"")</f>
        <v/>
      </c>
      <c r="AE61" s="20" t="str" cm="1">
        <f t="array" ref="AE61">IF(AE60&gt;0,_xlfn.SWITCH(AD61,"月","火","火","水","水","木","木","金","金","土","土","日","日","月"),"")</f>
        <v/>
      </c>
      <c r="AF61" s="28"/>
      <c r="AG61" s="7"/>
      <c r="AH61" s="11"/>
      <c r="AI61" s="7"/>
      <c r="AJ61" s="50" t="s">
        <v>12</v>
      </c>
      <c r="AK61" s="51"/>
      <c r="AL61" s="51"/>
      <c r="AM61" s="52"/>
      <c r="AN61" s="46"/>
      <c r="AO61" s="46"/>
    </row>
    <row r="62" spans="2:41" ht="24" x14ac:dyDescent="0.4">
      <c r="B62" s="40"/>
      <c r="C62" s="19" t="s">
        <v>0</v>
      </c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31">
        <f>IF(AA6="",0,IF(_xlfn.DAYS(AI6,AA6)+1-280&gt;=28,28,IF(_xlfn.DAYS(AI6,AA6)+1-280&lt;0,0,_xlfn.DAYS(AI6,AA6)+1-280)))</f>
        <v>0</v>
      </c>
      <c r="AG62" s="33"/>
      <c r="AH62" s="53">
        <f>AF62-COUNTIF(D62:AE62,"×")</f>
        <v>0</v>
      </c>
      <c r="AI62" s="54"/>
      <c r="AJ62" s="31">
        <f>COUNTIF(D62:AE62,"●")</f>
        <v>0</v>
      </c>
      <c r="AK62" s="32"/>
      <c r="AL62" s="32"/>
      <c r="AM62" s="33"/>
      <c r="AN62" s="34" t="e">
        <f>AJ62/AH62</f>
        <v>#DIV/0!</v>
      </c>
      <c r="AO62" s="34"/>
    </row>
    <row r="63" spans="2:41" ht="24.75" thickBot="1" x14ac:dyDescent="0.45">
      <c r="B63" s="41"/>
      <c r="C63" s="21" t="s">
        <v>1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35">
        <f>IF(AA6="",0,IF(_xlfn.DAYS(AI6,AA6)+1-280&gt;=28,28,IF(_xlfn.DAYS(AI6,AA6)+1-280&lt;0,0,_xlfn.DAYS(AI6,AA6)+1-280)))</f>
        <v>0</v>
      </c>
      <c r="AG63" s="36"/>
      <c r="AH63" s="35">
        <f>AF63-COUNTIF(D63:AE63,"×")</f>
        <v>0</v>
      </c>
      <c r="AI63" s="36"/>
      <c r="AJ63" s="35">
        <f>COUNTIF(D63:AE63,"●")</f>
        <v>0</v>
      </c>
      <c r="AK63" s="37"/>
      <c r="AL63" s="37"/>
      <c r="AM63" s="36"/>
      <c r="AN63" s="38" t="e">
        <f>AJ63/AH63</f>
        <v>#DIV/0!</v>
      </c>
      <c r="AO63" s="38"/>
    </row>
    <row r="64" spans="2:41" ht="24" x14ac:dyDescent="0.4">
      <c r="B64" s="40" t="s">
        <v>30</v>
      </c>
      <c r="C64" s="23" t="s">
        <v>15</v>
      </c>
      <c r="D64" s="20">
        <f>IF($AF$67-1&lt;0,,MONTH($AA$6+308))</f>
        <v>0</v>
      </c>
      <c r="E64" s="20">
        <f>IF($AF$67-2&lt;0,,MONTH($AA$6+309))</f>
        <v>0</v>
      </c>
      <c r="F64" s="20">
        <f>IF($AF$67-3&lt;0,,MONTH($AA$6+310))</f>
        <v>0</v>
      </c>
      <c r="G64" s="20">
        <f>IF($AF$67-4&lt;0,,MONTH($AA$6+311))</f>
        <v>0</v>
      </c>
      <c r="H64" s="20">
        <f>IF($AF$67-5&lt;0,,MONTH($AA$6+312))</f>
        <v>0</v>
      </c>
      <c r="I64" s="20">
        <f>IF($AF$67-6&lt;0,,MONTH($AA$6+313))</f>
        <v>0</v>
      </c>
      <c r="J64" s="20">
        <f>IF($AF$67-7&lt;0,,MONTH($AA$6+314))</f>
        <v>0</v>
      </c>
      <c r="K64" s="20">
        <f>IF($AF$67-8&lt;0,,MONTH($AA$6+315))</f>
        <v>0</v>
      </c>
      <c r="L64" s="20">
        <f>IF($AF$67-9&lt;0,,MONTH($AA$6+316))</f>
        <v>0</v>
      </c>
      <c r="M64" s="20">
        <f>IF($AF$67-10&lt;0,,MONTH($AA$6+317))</f>
        <v>0</v>
      </c>
      <c r="N64" s="20">
        <f>IF($AF$67-11&lt;0,,MONTH($AA$6+318))</f>
        <v>0</v>
      </c>
      <c r="O64" s="20">
        <f>IF($AF$67-12&lt;0,,MONTH($AA$6+319))</f>
        <v>0</v>
      </c>
      <c r="P64" s="20">
        <f>IF($AF$67-13&lt;0,,MONTH($AA$6+320))</f>
        <v>0</v>
      </c>
      <c r="Q64" s="20">
        <f>IF($AF$67-14&lt;0,,MONTH($AA$6+321))</f>
        <v>0</v>
      </c>
      <c r="R64" s="20">
        <f>IF($AF$67-15&lt;0,,MONTH($AA$6+322))</f>
        <v>0</v>
      </c>
      <c r="S64" s="20">
        <f>IF($AF$67-16&lt;0,,MONTH($AA$6+323))</f>
        <v>0</v>
      </c>
      <c r="T64" s="20">
        <f>IF($AF$67-17&lt;0,,MONTH($AA$6+324))</f>
        <v>0</v>
      </c>
      <c r="U64" s="20">
        <f>IF($AF$67-18&lt;0,,MONTH($AA$6+325))</f>
        <v>0</v>
      </c>
      <c r="V64" s="20">
        <f>IF($AF$67-19&lt;0,,MONTH($AA$6+326))</f>
        <v>0</v>
      </c>
      <c r="W64" s="20">
        <f>IF($AF$67-20&lt;0,,MONTH($AA$6+327))</f>
        <v>0</v>
      </c>
      <c r="X64" s="20">
        <f>IF($AF$67-21&lt;0,,MONTH($AA$6+328))</f>
        <v>0</v>
      </c>
      <c r="Y64" s="20">
        <f>IF($AF$67-22&lt;0,,MONTH($AA$6+329))</f>
        <v>0</v>
      </c>
      <c r="Z64" s="20">
        <f>IF($AF$67-23&lt;0,,MONTH($AA$6+330))</f>
        <v>0</v>
      </c>
      <c r="AA64" s="20">
        <f>IF($AF$67-24&lt;0,,MONTH($AA$6+331))</f>
        <v>0</v>
      </c>
      <c r="AB64" s="20">
        <f>IF($AF$67-25&lt;0,,MONTH($AA$6+332))</f>
        <v>0</v>
      </c>
      <c r="AC64" s="20">
        <f>IF($AF$67-26&lt;0,,MONTH($AA$6+333))</f>
        <v>0</v>
      </c>
      <c r="AD64" s="20">
        <f>IF($AF$67-27&lt;0,,MONTH($AA$6+334))</f>
        <v>0</v>
      </c>
      <c r="AE64" s="20">
        <f>IF($AF$67-28&lt;0,,MONTH($AA$6+335))</f>
        <v>0</v>
      </c>
      <c r="AF64" s="55" t="s">
        <v>39</v>
      </c>
      <c r="AG64" s="56"/>
      <c r="AH64" s="56"/>
      <c r="AI64" s="56"/>
      <c r="AJ64" s="56"/>
      <c r="AK64" s="56"/>
      <c r="AL64" s="56"/>
      <c r="AM64" s="57"/>
      <c r="AN64" s="58" t="s">
        <v>5</v>
      </c>
      <c r="AO64" s="58"/>
    </row>
    <row r="65" spans="2:41" ht="24" x14ac:dyDescent="0.4">
      <c r="B65" s="40"/>
      <c r="C65" s="20" t="s">
        <v>11</v>
      </c>
      <c r="D65" s="20">
        <f>IF($AF$67-1&lt;0,,DAY($AA$6+308))</f>
        <v>0</v>
      </c>
      <c r="E65" s="20">
        <f>IF($AF$67-2&lt;0,,DAY($AA$6+309))</f>
        <v>0</v>
      </c>
      <c r="F65" s="20">
        <f>IF($AF$67-3&lt;0,,DAY($AA$6+310))</f>
        <v>0</v>
      </c>
      <c r="G65" s="20">
        <f>IF($AF$67-4&lt;0,,DAY($AA$6+311))</f>
        <v>0</v>
      </c>
      <c r="H65" s="20">
        <f>IF($AF$67-5&lt;0,,DAY($AA$6+312))</f>
        <v>0</v>
      </c>
      <c r="I65" s="20">
        <f>IF($AF$67-6&lt;0,,DAY($AA$6+313))</f>
        <v>0</v>
      </c>
      <c r="J65" s="20">
        <f>IF($AF$67-7&lt;0,,DAY($AA$6+314))</f>
        <v>0</v>
      </c>
      <c r="K65" s="20">
        <f>IF($AF$67-8&lt;0,,DAY($AA$6+315))</f>
        <v>0</v>
      </c>
      <c r="L65" s="20">
        <f>IF($AF$67-9&lt;0,,DAY($AA$6+316))</f>
        <v>0</v>
      </c>
      <c r="M65" s="20">
        <f>IF($AF$67-10&lt;0,,DAY($AA$6+317))</f>
        <v>0</v>
      </c>
      <c r="N65" s="20">
        <f>IF($AF$67-11&lt;0,,DAY($AA$6+318))</f>
        <v>0</v>
      </c>
      <c r="O65" s="20">
        <f>IF($AF$67-12&lt;0,,DAY($AA$6+319))</f>
        <v>0</v>
      </c>
      <c r="P65" s="20">
        <f>IF($AF$67-13&lt;0,,DAY($AA$6+320))</f>
        <v>0</v>
      </c>
      <c r="Q65" s="20">
        <f>IF($AF$67-14&lt;0,,DAY($AA$6+321))</f>
        <v>0</v>
      </c>
      <c r="R65" s="20">
        <f>IF($AF$67-15&lt;0,,DAY($AA$6+322))</f>
        <v>0</v>
      </c>
      <c r="S65" s="20">
        <f>IF($AF$67-16&lt;0,,DAY($AA$6+323))</f>
        <v>0</v>
      </c>
      <c r="T65" s="20">
        <f>IF($AF$67-17&lt;0,,DAY($AA$6+324))</f>
        <v>0</v>
      </c>
      <c r="U65" s="20">
        <f>IF($AF$67-18&lt;0,,DAY($AA$6+325))</f>
        <v>0</v>
      </c>
      <c r="V65" s="20">
        <f>IF($AF$67-19&lt;0,,DAY($AA$6+326))</f>
        <v>0</v>
      </c>
      <c r="W65" s="20">
        <f>IF($AF$67-20&lt;0,,DAY($AA$6+327))</f>
        <v>0</v>
      </c>
      <c r="X65" s="20">
        <f>IF($AF$67-21&lt;0,,DAY($AA$6+328))</f>
        <v>0</v>
      </c>
      <c r="Y65" s="20">
        <f>IF($AF$67-22&lt;0,,DAY($AA$6+329))</f>
        <v>0</v>
      </c>
      <c r="Z65" s="20">
        <f>IF($AF$67-23&lt;0,,DAY($AA$6+330))</f>
        <v>0</v>
      </c>
      <c r="AA65" s="20">
        <f>IF($AF$67-24&lt;0,,DAY($AA$6+331))</f>
        <v>0</v>
      </c>
      <c r="AB65" s="20">
        <f>IF($AF$67-25&lt;0,,DAY($AA$6+332))</f>
        <v>0</v>
      </c>
      <c r="AC65" s="20">
        <f>IF($AF$67-26&lt;0,,DAY($AA$6+333))</f>
        <v>0</v>
      </c>
      <c r="AD65" s="20">
        <f>IF($AF$67-27&lt;0,,DAY($AA$6+334))</f>
        <v>0</v>
      </c>
      <c r="AE65" s="20">
        <f>IF($AF$67-28&lt;0,,DAY($AA$6+335))</f>
        <v>0</v>
      </c>
      <c r="AF65" s="26"/>
      <c r="AG65" s="27"/>
      <c r="AH65" s="47" t="s">
        <v>14</v>
      </c>
      <c r="AI65" s="48"/>
      <c r="AJ65" s="48"/>
      <c r="AK65" s="48"/>
      <c r="AL65" s="48"/>
      <c r="AM65" s="49"/>
      <c r="AN65" s="46"/>
      <c r="AO65" s="46"/>
    </row>
    <row r="66" spans="2:41" ht="24" x14ac:dyDescent="0.4">
      <c r="B66" s="40"/>
      <c r="C66" s="20" t="s">
        <v>16</v>
      </c>
      <c r="D66" s="20" t="str" cm="1">
        <f t="array" ref="D66">IF(D65&gt;0,_xlfn.SWITCH(AE61,"月","火","火","水","水","木","木","金","金","土","土","日","日","月"),"")</f>
        <v/>
      </c>
      <c r="E66" s="20" t="str" cm="1">
        <f t="array" ref="E66">IF(E65&gt;0,_xlfn.SWITCH(D66,"月","火","火","水","水","木","木","金","金","土","土","日","日","月"),"")</f>
        <v/>
      </c>
      <c r="F66" s="20" t="str" cm="1">
        <f t="array" ref="F66">IF(F65&gt;0,_xlfn.SWITCH(E66,"月","火","火","水","水","木","木","金","金","土","土","日","日","月"),"")</f>
        <v/>
      </c>
      <c r="G66" s="20" t="str" cm="1">
        <f t="array" ref="G66">IF(G65&gt;0,_xlfn.SWITCH(F66,"月","火","火","水","水","木","木","金","金","土","土","日","日","月"),"")</f>
        <v/>
      </c>
      <c r="H66" s="20" t="str" cm="1">
        <f t="array" ref="H66">IF(H65&gt;0,_xlfn.SWITCH(G66,"月","火","火","水","水","木","木","金","金","土","土","日","日","月"),"")</f>
        <v/>
      </c>
      <c r="I66" s="20" t="str" cm="1">
        <f t="array" ref="I66">IF(I65&gt;0,_xlfn.SWITCH(H66,"月","火","火","水","水","木","木","金","金","土","土","日","日","月"),"")</f>
        <v/>
      </c>
      <c r="J66" s="20" t="str" cm="1">
        <f t="array" ref="J66">IF(J65&gt;0,_xlfn.SWITCH(I66,"月","火","火","水","水","木","木","金","金","土","土","日","日","月"),"")</f>
        <v/>
      </c>
      <c r="K66" s="20" t="str" cm="1">
        <f t="array" ref="K66">IF(K65&gt;0,_xlfn.SWITCH(J66,"月","火","火","水","水","木","木","金","金","土","土","日","日","月"),"")</f>
        <v/>
      </c>
      <c r="L66" s="20" t="str" cm="1">
        <f t="array" ref="L66">IF(L65&gt;0,_xlfn.SWITCH(K66,"月","火","火","水","水","木","木","金","金","土","土","日","日","月"),"")</f>
        <v/>
      </c>
      <c r="M66" s="20" t="str" cm="1">
        <f t="array" ref="M66">IF(M65&gt;0,_xlfn.SWITCH(L66,"月","火","火","水","水","木","木","金","金","土","土","日","日","月"),"")</f>
        <v/>
      </c>
      <c r="N66" s="20" t="str" cm="1">
        <f t="array" ref="N66">IF(N65&gt;0,_xlfn.SWITCH(M66,"月","火","火","水","水","木","木","金","金","土","土","日","日","月"),"")</f>
        <v/>
      </c>
      <c r="O66" s="20" t="str" cm="1">
        <f t="array" ref="O66">IF(O65&gt;0,_xlfn.SWITCH(N66,"月","火","火","水","水","木","木","金","金","土","土","日","日","月"),"")</f>
        <v/>
      </c>
      <c r="P66" s="20" t="str" cm="1">
        <f t="array" ref="P66">IF(P65&gt;0,_xlfn.SWITCH(O66,"月","火","火","水","水","木","木","金","金","土","土","日","日","月"),"")</f>
        <v/>
      </c>
      <c r="Q66" s="20" t="str" cm="1">
        <f t="array" ref="Q66">IF(Q65&gt;0,_xlfn.SWITCH(P66,"月","火","火","水","水","木","木","金","金","土","土","日","日","月"),"")</f>
        <v/>
      </c>
      <c r="R66" s="20" t="str" cm="1">
        <f t="array" ref="R66">IF(R65&gt;0,_xlfn.SWITCH(Q66,"月","火","火","水","水","木","木","金","金","土","土","日","日","月"),"")</f>
        <v/>
      </c>
      <c r="S66" s="20" t="str" cm="1">
        <f t="array" ref="S66">IF(S65&gt;0,_xlfn.SWITCH(R66,"月","火","火","水","水","木","木","金","金","土","土","日","日","月"),"")</f>
        <v/>
      </c>
      <c r="T66" s="20" t="str" cm="1">
        <f t="array" ref="T66">IF(T65&gt;0,_xlfn.SWITCH(S66,"月","火","火","水","水","木","木","金","金","土","土","日","日","月"),"")</f>
        <v/>
      </c>
      <c r="U66" s="20" t="str" cm="1">
        <f t="array" ref="U66">IF(U65&gt;0,_xlfn.SWITCH(T66,"月","火","火","水","水","木","木","金","金","土","土","日","日","月"),"")</f>
        <v/>
      </c>
      <c r="V66" s="20" t="str" cm="1">
        <f t="array" ref="V66">IF(V65&gt;0,_xlfn.SWITCH(U66,"月","火","火","水","水","木","木","金","金","土","土","日","日","月"),"")</f>
        <v/>
      </c>
      <c r="W66" s="20" t="str" cm="1">
        <f t="array" ref="W66">IF(W65&gt;0,_xlfn.SWITCH(V66,"月","火","火","水","水","木","木","金","金","土","土","日","日","月"),"")</f>
        <v/>
      </c>
      <c r="X66" s="20" t="str" cm="1">
        <f t="array" ref="X66">IF(X65&gt;0,_xlfn.SWITCH(W66,"月","火","火","水","水","木","木","金","金","土","土","日","日","月"),"")</f>
        <v/>
      </c>
      <c r="Y66" s="20" t="str" cm="1">
        <f t="array" ref="Y66">IF(Y65&gt;0,_xlfn.SWITCH(X66,"月","火","火","水","水","木","木","金","金","土","土","日","日","月"),"")</f>
        <v/>
      </c>
      <c r="Z66" s="20" t="str" cm="1">
        <f t="array" ref="Z66">IF(Z65&gt;0,_xlfn.SWITCH(Y66,"月","火","火","水","水","木","木","金","金","土","土","日","日","月"),"")</f>
        <v/>
      </c>
      <c r="AA66" s="20" t="str" cm="1">
        <f t="array" ref="AA66">IF(AA65&gt;0,_xlfn.SWITCH(Z66,"月","火","火","水","水","木","木","金","金","土","土","日","日","月"),"")</f>
        <v/>
      </c>
      <c r="AB66" s="20" t="str" cm="1">
        <f t="array" ref="AB66">IF(AB65&gt;0,_xlfn.SWITCH(AA66,"月","火","火","水","水","木","木","金","金","土","土","日","日","月"),"")</f>
        <v/>
      </c>
      <c r="AC66" s="20" t="str" cm="1">
        <f t="array" ref="AC66">IF(AC65&gt;0,_xlfn.SWITCH(AB66,"月","火","火","水","水","木","木","金","金","土","土","日","日","月"),"")</f>
        <v/>
      </c>
      <c r="AD66" s="20" t="str" cm="1">
        <f t="array" ref="AD66">IF(AD65&gt;0,_xlfn.SWITCH(AC66,"月","火","火","水","水","木","木","金","金","土","土","日","日","月"),"")</f>
        <v/>
      </c>
      <c r="AE66" s="20" t="str" cm="1">
        <f t="array" ref="AE66">IF(AE65&gt;0,_xlfn.SWITCH(AD66,"月","火","火","水","水","木","木","金","金","土","土","日","日","月"),"")</f>
        <v/>
      </c>
      <c r="AF66" s="28"/>
      <c r="AG66" s="7"/>
      <c r="AH66" s="11"/>
      <c r="AI66" s="7"/>
      <c r="AJ66" s="50" t="s">
        <v>12</v>
      </c>
      <c r="AK66" s="51"/>
      <c r="AL66" s="51"/>
      <c r="AM66" s="52"/>
      <c r="AN66" s="46"/>
      <c r="AO66" s="46"/>
    </row>
    <row r="67" spans="2:41" ht="24" x14ac:dyDescent="0.4">
      <c r="B67" s="40"/>
      <c r="C67" s="19" t="s">
        <v>0</v>
      </c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31">
        <f>IF(AA6="",0,IF(_xlfn.DAYS(AI6,AA6)+1-308&gt;=28,28,IF(_xlfn.DAYS(AI6,AA6)+1-308&lt;0,0,_xlfn.DAYS(AI6,AA6)+1-308)))</f>
        <v>0</v>
      </c>
      <c r="AG67" s="33"/>
      <c r="AH67" s="53">
        <f>AF67-COUNTIF(D67:AE67,"×")</f>
        <v>0</v>
      </c>
      <c r="AI67" s="54"/>
      <c r="AJ67" s="31">
        <f>COUNTIF(D67:AE67,"●")</f>
        <v>0</v>
      </c>
      <c r="AK67" s="32"/>
      <c r="AL67" s="32"/>
      <c r="AM67" s="33"/>
      <c r="AN67" s="34" t="e">
        <f>AJ67/AH67</f>
        <v>#DIV/0!</v>
      </c>
      <c r="AO67" s="34"/>
    </row>
    <row r="68" spans="2:41" ht="24.75" thickBot="1" x14ac:dyDescent="0.45">
      <c r="B68" s="41"/>
      <c r="C68" s="21" t="s">
        <v>1</v>
      </c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35">
        <f>IF(AA6="",0,IF(_xlfn.DAYS(AI6,AA6)+1-308&gt;=28,28,IF(_xlfn.DAYS(AI6,AA6)+1-308&lt;0,0,_xlfn.DAYS(AI6,AA6)+1-308)))</f>
        <v>0</v>
      </c>
      <c r="AG68" s="36"/>
      <c r="AH68" s="35">
        <f>AF68-COUNTIF(D68:AE68,"×")</f>
        <v>0</v>
      </c>
      <c r="AI68" s="36"/>
      <c r="AJ68" s="35">
        <f>COUNTIF(D68:AE68,"●")</f>
        <v>0</v>
      </c>
      <c r="AK68" s="37"/>
      <c r="AL68" s="37"/>
      <c r="AM68" s="36"/>
      <c r="AN68" s="38" t="e">
        <f>AJ68/AH68</f>
        <v>#DIV/0!</v>
      </c>
      <c r="AO68" s="38"/>
    </row>
    <row r="69" spans="2:41" ht="24" x14ac:dyDescent="0.4">
      <c r="B69" s="40" t="s">
        <v>31</v>
      </c>
      <c r="C69" s="23" t="s">
        <v>15</v>
      </c>
      <c r="D69" s="20">
        <f>IF($AF$72-1&lt;0,,MONTH($AA$6+336))</f>
        <v>0</v>
      </c>
      <c r="E69" s="20">
        <f>IF($AF$72-2&lt;0,,MONTH($AA$6+337))</f>
        <v>0</v>
      </c>
      <c r="F69" s="20">
        <f>IF($AF$72-3&lt;0,,MONTH($AA$6+338))</f>
        <v>0</v>
      </c>
      <c r="G69" s="20">
        <f>IF($AF$72-4&lt;0,,MONTH($AA$6+339))</f>
        <v>0</v>
      </c>
      <c r="H69" s="20">
        <f>IF($AF$72-5&lt;0,,MONTH($AA$6+340))</f>
        <v>0</v>
      </c>
      <c r="I69" s="20">
        <f>IF($AF$72-6&lt;0,,MONTH($AA$6+341))</f>
        <v>0</v>
      </c>
      <c r="J69" s="20">
        <f>IF($AF$72-7&lt;0,,MONTH($AA$6+342))</f>
        <v>0</v>
      </c>
      <c r="K69" s="20">
        <f>IF($AF$72-8&lt;0,,MONTH($AA$6+343))</f>
        <v>0</v>
      </c>
      <c r="L69" s="20">
        <f>IF($AF$72-9&lt;0,,MONTH($AA$6+344))</f>
        <v>0</v>
      </c>
      <c r="M69" s="20">
        <f>IF($AF$72-10&lt;0,,MONTH($AA$6+345))</f>
        <v>0</v>
      </c>
      <c r="N69" s="20">
        <f>IF($AF$72-11&lt;0,,MONTH($AA$6+346))</f>
        <v>0</v>
      </c>
      <c r="O69" s="20">
        <f>IF($AF$72-12&lt;0,,MONTH($AA$6+347))</f>
        <v>0</v>
      </c>
      <c r="P69" s="20">
        <f>IF($AF$72-13&lt;0,,MONTH($AA$6+348))</f>
        <v>0</v>
      </c>
      <c r="Q69" s="20">
        <f>IF($AF$72-14&lt;0,,MONTH($AA$6+349))</f>
        <v>0</v>
      </c>
      <c r="R69" s="20">
        <f>IF($AF$72-15&lt;0,,MONTH($AA$6+350))</f>
        <v>0</v>
      </c>
      <c r="S69" s="20">
        <f>IF($AF$72-16&lt;0,,MONTH($AA$6+351))</f>
        <v>0</v>
      </c>
      <c r="T69" s="20">
        <f>IF($AF$72-17&lt;0,,MONTH($AA$6+352))</f>
        <v>0</v>
      </c>
      <c r="U69" s="20">
        <f>IF($AF$72-18&lt;0,,MONTH($AA$6+353))</f>
        <v>0</v>
      </c>
      <c r="V69" s="20">
        <f>IF($AF$72-19&lt;0,,MONTH($AA$6+354))</f>
        <v>0</v>
      </c>
      <c r="W69" s="20">
        <f>IF($AF$72-20&lt;0,,MONTH($AA$6+355))</f>
        <v>0</v>
      </c>
      <c r="X69" s="20">
        <f>IF($AF$72-21&lt;0,,MONTH($AA$6+356))</f>
        <v>0</v>
      </c>
      <c r="Y69" s="20">
        <f>IF($AF$72-22&lt;0,,MONTH($AA$6+357))</f>
        <v>0</v>
      </c>
      <c r="Z69" s="20">
        <f>IF($AF$72-23&lt;0,,MONTH($AA$6+358))</f>
        <v>0</v>
      </c>
      <c r="AA69" s="20">
        <f>IF($AF$72-24&lt;0,,MONTH($AA$6+359))</f>
        <v>0</v>
      </c>
      <c r="AB69" s="20">
        <f>IF($AF$72-25&lt;0,,MONTH($AA$6+360))</f>
        <v>0</v>
      </c>
      <c r="AC69" s="20">
        <f>IF($AF$72-26&lt;0,,MONTH($AA$6+361))</f>
        <v>0</v>
      </c>
      <c r="AD69" s="20">
        <f>IF($AF$72-27&lt;0,,MONTH($AA$6+362))</f>
        <v>0</v>
      </c>
      <c r="AE69" s="20">
        <f>IF($AF$72-28&lt;0,,MONTH($AA$6+363))</f>
        <v>0</v>
      </c>
      <c r="AF69" s="55" t="s">
        <v>39</v>
      </c>
      <c r="AG69" s="56"/>
      <c r="AH69" s="56"/>
      <c r="AI69" s="56"/>
      <c r="AJ69" s="56"/>
      <c r="AK69" s="56"/>
      <c r="AL69" s="56"/>
      <c r="AM69" s="57"/>
      <c r="AN69" s="58" t="s">
        <v>5</v>
      </c>
      <c r="AO69" s="58"/>
    </row>
    <row r="70" spans="2:41" ht="24" x14ac:dyDescent="0.4">
      <c r="B70" s="40"/>
      <c r="C70" s="20" t="s">
        <v>11</v>
      </c>
      <c r="D70" s="20">
        <f>IF($AF$72-1&lt;0,,DAY($AA$6+336))</f>
        <v>0</v>
      </c>
      <c r="E70" s="20">
        <f>IF($AF$72-2&lt;0,,DAY($AA$6+337))</f>
        <v>0</v>
      </c>
      <c r="F70" s="20">
        <f>IF($AF$72-3&lt;0,,DAY($AA$6+338))</f>
        <v>0</v>
      </c>
      <c r="G70" s="20">
        <f>IF($AF$72-4&lt;0,,DAY($AA$6+339))</f>
        <v>0</v>
      </c>
      <c r="H70" s="20">
        <f>IF($AF$72-5&lt;0,,DAY($AA$6+340))</f>
        <v>0</v>
      </c>
      <c r="I70" s="20">
        <f>IF($AF$72-6&lt;0,,DAY($AA$6+341))</f>
        <v>0</v>
      </c>
      <c r="J70" s="20">
        <f>IF($AF$72-7&lt;0,,DAY($AA$6+342))</f>
        <v>0</v>
      </c>
      <c r="K70" s="20">
        <f>IF($AF$72-8&lt;0,,DAY($AA$6+343))</f>
        <v>0</v>
      </c>
      <c r="L70" s="20">
        <f>IF($AF$72-9&lt;0,,DAY($AA$6+344))</f>
        <v>0</v>
      </c>
      <c r="M70" s="20">
        <f>IF($AF$72-10&lt;0,,DAY($AA$6+345))</f>
        <v>0</v>
      </c>
      <c r="N70" s="20">
        <f>IF($AF$72-11&lt;0,,DAY($AA$6+346))</f>
        <v>0</v>
      </c>
      <c r="O70" s="20">
        <f>IF($AF$72-12&lt;0,,DAY($AA$6+347))</f>
        <v>0</v>
      </c>
      <c r="P70" s="20">
        <f>IF($AF$72-13&lt;0,,DAY($AA$6+348))</f>
        <v>0</v>
      </c>
      <c r="Q70" s="20">
        <f>IF($AF$72-14&lt;0,,DAY($AA$6+349))</f>
        <v>0</v>
      </c>
      <c r="R70" s="20">
        <f>IF($AF$72-15&lt;0,,DAY($AA$6+350))</f>
        <v>0</v>
      </c>
      <c r="S70" s="20">
        <f>IF($AF$72-16&lt;0,,DAY($AA$6+351))</f>
        <v>0</v>
      </c>
      <c r="T70" s="20">
        <f>IF($AF$72-17&lt;0,,DAY($AA$6+352))</f>
        <v>0</v>
      </c>
      <c r="U70" s="20">
        <f>IF($AF$72-18&lt;0,,DAY($AA$6+353))</f>
        <v>0</v>
      </c>
      <c r="V70" s="20">
        <f>IF($AF$72-19&lt;0,,DAY($AA$6+354))</f>
        <v>0</v>
      </c>
      <c r="W70" s="20">
        <f>IF($AF$72-20&lt;0,,DAY($AA$6+355))</f>
        <v>0</v>
      </c>
      <c r="X70" s="20">
        <f>IF($AF$72-21&lt;0,,DAY($AA$6+356))</f>
        <v>0</v>
      </c>
      <c r="Y70" s="20">
        <f>IF($AF$72-22&lt;0,,DAY($AA$6+357))</f>
        <v>0</v>
      </c>
      <c r="Z70" s="20">
        <f>IF($AF$72-23&lt;0,,DAY($AA$6+358))</f>
        <v>0</v>
      </c>
      <c r="AA70" s="20">
        <f>IF($AF$72-24&lt;0,,DAY($AA$6+359))</f>
        <v>0</v>
      </c>
      <c r="AB70" s="20">
        <f>IF($AF$72-25&lt;0,,DAY($AA$6+360))</f>
        <v>0</v>
      </c>
      <c r="AC70" s="20">
        <f>IF($AF$72-26&lt;0,,DAY($AA$6+361))</f>
        <v>0</v>
      </c>
      <c r="AD70" s="20">
        <f>IF($AF$72-27&lt;0,,DAY($AA$6+362))</f>
        <v>0</v>
      </c>
      <c r="AE70" s="20">
        <f>IF($AF$72-28&lt;0,,DAY($AA$6+363))</f>
        <v>0</v>
      </c>
      <c r="AF70" s="26"/>
      <c r="AG70" s="27"/>
      <c r="AH70" s="47" t="s">
        <v>14</v>
      </c>
      <c r="AI70" s="48"/>
      <c r="AJ70" s="48"/>
      <c r="AK70" s="48"/>
      <c r="AL70" s="48"/>
      <c r="AM70" s="49"/>
      <c r="AN70" s="46"/>
      <c r="AO70" s="46"/>
    </row>
    <row r="71" spans="2:41" ht="24" x14ac:dyDescent="0.4">
      <c r="B71" s="40"/>
      <c r="C71" s="20" t="s">
        <v>16</v>
      </c>
      <c r="D71" s="20" t="str" cm="1">
        <f t="array" ref="D71">IF(D70&gt;0,_xlfn.SWITCH(AE66,"月","火","火","水","水","木","木","金","金","土","土","日","日","月"),"")</f>
        <v/>
      </c>
      <c r="E71" s="20" t="str" cm="1">
        <f t="array" ref="E71">IF(E70&gt;0,_xlfn.SWITCH(D71,"月","火","火","水","水","木","木","金","金","土","土","日","日","月"),"")</f>
        <v/>
      </c>
      <c r="F71" s="20" t="str" cm="1">
        <f t="array" ref="F71">IF(F70&gt;0,_xlfn.SWITCH(E71,"月","火","火","水","水","木","木","金","金","土","土","日","日","月"),"")</f>
        <v/>
      </c>
      <c r="G71" s="20" t="str" cm="1">
        <f t="array" ref="G71">IF(G70&gt;0,_xlfn.SWITCH(F71,"月","火","火","水","水","木","木","金","金","土","土","日","日","月"),"")</f>
        <v/>
      </c>
      <c r="H71" s="20" t="str" cm="1">
        <f t="array" ref="H71">IF(H70&gt;0,_xlfn.SWITCH(G71,"月","火","火","水","水","木","木","金","金","土","土","日","日","月"),"")</f>
        <v/>
      </c>
      <c r="I71" s="20" t="str" cm="1">
        <f t="array" ref="I71">IF(I70&gt;0,_xlfn.SWITCH(H71,"月","火","火","水","水","木","木","金","金","土","土","日","日","月"),"")</f>
        <v/>
      </c>
      <c r="J71" s="20" t="str" cm="1">
        <f t="array" ref="J71">IF(J70&gt;0,_xlfn.SWITCH(I71,"月","火","火","水","水","木","木","金","金","土","土","日","日","月"),"")</f>
        <v/>
      </c>
      <c r="K71" s="20" t="str" cm="1">
        <f t="array" ref="K71">IF(K70&gt;0,_xlfn.SWITCH(J71,"月","火","火","水","水","木","木","金","金","土","土","日","日","月"),"")</f>
        <v/>
      </c>
      <c r="L71" s="20" t="str" cm="1">
        <f t="array" ref="L71">IF(L70&gt;0,_xlfn.SWITCH(K71,"月","火","火","水","水","木","木","金","金","土","土","日","日","月"),"")</f>
        <v/>
      </c>
      <c r="M71" s="20" t="str" cm="1">
        <f t="array" ref="M71">IF(M70&gt;0,_xlfn.SWITCH(L71,"月","火","火","水","水","木","木","金","金","土","土","日","日","月"),"")</f>
        <v/>
      </c>
      <c r="N71" s="20" t="str" cm="1">
        <f t="array" ref="N71">IF(N70&gt;0,_xlfn.SWITCH(M71,"月","火","火","水","水","木","木","金","金","土","土","日","日","月"),"")</f>
        <v/>
      </c>
      <c r="O71" s="20" t="str" cm="1">
        <f t="array" ref="O71">IF(O70&gt;0,_xlfn.SWITCH(N71,"月","火","火","水","水","木","木","金","金","土","土","日","日","月"),"")</f>
        <v/>
      </c>
      <c r="P71" s="20" t="str" cm="1">
        <f t="array" ref="P71">IF(P70&gt;0,_xlfn.SWITCH(O71,"月","火","火","水","水","木","木","金","金","土","土","日","日","月"),"")</f>
        <v/>
      </c>
      <c r="Q71" s="20" t="str" cm="1">
        <f t="array" ref="Q71">IF(Q70&gt;0,_xlfn.SWITCH(P71,"月","火","火","水","水","木","木","金","金","土","土","日","日","月"),"")</f>
        <v/>
      </c>
      <c r="R71" s="20" t="str" cm="1">
        <f t="array" ref="R71">IF(R70&gt;0,_xlfn.SWITCH(Q71,"月","火","火","水","水","木","木","金","金","土","土","日","日","月"),"")</f>
        <v/>
      </c>
      <c r="S71" s="20" t="str" cm="1">
        <f t="array" ref="S71">IF(S70&gt;0,_xlfn.SWITCH(R71,"月","火","火","水","水","木","木","金","金","土","土","日","日","月"),"")</f>
        <v/>
      </c>
      <c r="T71" s="20" t="str" cm="1">
        <f t="array" ref="T71">IF(T70&gt;0,_xlfn.SWITCH(S71,"月","火","火","水","水","木","木","金","金","土","土","日","日","月"),"")</f>
        <v/>
      </c>
      <c r="U71" s="20" t="str" cm="1">
        <f t="array" ref="U71">IF(U70&gt;0,_xlfn.SWITCH(T71,"月","火","火","水","水","木","木","金","金","土","土","日","日","月"),"")</f>
        <v/>
      </c>
      <c r="V71" s="20" t="str" cm="1">
        <f t="array" ref="V71">IF(V70&gt;0,_xlfn.SWITCH(U71,"月","火","火","水","水","木","木","金","金","土","土","日","日","月"),"")</f>
        <v/>
      </c>
      <c r="W71" s="20" t="str" cm="1">
        <f t="array" ref="W71">IF(W70&gt;0,_xlfn.SWITCH(V71,"月","火","火","水","水","木","木","金","金","土","土","日","日","月"),"")</f>
        <v/>
      </c>
      <c r="X71" s="20" t="str" cm="1">
        <f t="array" ref="X71">IF(X70&gt;0,_xlfn.SWITCH(W71,"月","火","火","水","水","木","木","金","金","土","土","日","日","月"),"")</f>
        <v/>
      </c>
      <c r="Y71" s="20" t="str" cm="1">
        <f t="array" ref="Y71">IF(Y70&gt;0,_xlfn.SWITCH(X71,"月","火","火","水","水","木","木","金","金","土","土","日","日","月"),"")</f>
        <v/>
      </c>
      <c r="Z71" s="20" t="str" cm="1">
        <f t="array" ref="Z71">IF(Z70&gt;0,_xlfn.SWITCH(Y71,"月","火","火","水","水","木","木","金","金","土","土","日","日","月"),"")</f>
        <v/>
      </c>
      <c r="AA71" s="20" t="str" cm="1">
        <f t="array" ref="AA71">IF(AA70&gt;0,_xlfn.SWITCH(Z71,"月","火","火","水","水","木","木","金","金","土","土","日","日","月"),"")</f>
        <v/>
      </c>
      <c r="AB71" s="20" t="str" cm="1">
        <f t="array" ref="AB71">IF(AB70&gt;0,_xlfn.SWITCH(AA71,"月","火","火","水","水","木","木","金","金","土","土","日","日","月"),"")</f>
        <v/>
      </c>
      <c r="AC71" s="20" t="str" cm="1">
        <f t="array" ref="AC71">IF(AC70&gt;0,_xlfn.SWITCH(AB71,"月","火","火","水","水","木","木","金","金","土","土","日","日","月"),"")</f>
        <v/>
      </c>
      <c r="AD71" s="20" t="str" cm="1">
        <f t="array" ref="AD71">IF(AD70&gt;0,_xlfn.SWITCH(AC71,"月","火","火","水","水","木","木","金","金","土","土","日","日","月"),"")</f>
        <v/>
      </c>
      <c r="AE71" s="20" t="str" cm="1">
        <f t="array" ref="AE71">IF(AE70&gt;0,_xlfn.SWITCH(AD71,"月","火","火","水","水","木","木","金","金","土","土","日","日","月"),"")</f>
        <v/>
      </c>
      <c r="AF71" s="28"/>
      <c r="AG71" s="7"/>
      <c r="AH71" s="11"/>
      <c r="AI71" s="7"/>
      <c r="AJ71" s="50" t="s">
        <v>12</v>
      </c>
      <c r="AK71" s="51"/>
      <c r="AL71" s="51"/>
      <c r="AM71" s="52"/>
      <c r="AN71" s="46"/>
      <c r="AO71" s="46"/>
    </row>
    <row r="72" spans="2:41" ht="24" x14ac:dyDescent="0.4">
      <c r="B72" s="40"/>
      <c r="C72" s="19" t="s">
        <v>0</v>
      </c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31">
        <f>IF(AA6="",0,IF(_xlfn.DAYS(AI6,AA6)+1-336&gt;=28,28,IF(_xlfn.DAYS(AI6,AA6)+1-336&lt;0,0,_xlfn.DAYS(AI6,AA6)+1-336)))</f>
        <v>0</v>
      </c>
      <c r="AG72" s="33"/>
      <c r="AH72" s="53">
        <f>AF72-COUNTIF(D72:AE72,"×")</f>
        <v>0</v>
      </c>
      <c r="AI72" s="54"/>
      <c r="AJ72" s="31">
        <f>COUNTIF(D72:AE72,"●")</f>
        <v>0</v>
      </c>
      <c r="AK72" s="32"/>
      <c r="AL72" s="32"/>
      <c r="AM72" s="33"/>
      <c r="AN72" s="34" t="e">
        <f>AJ72/AH72</f>
        <v>#DIV/0!</v>
      </c>
      <c r="AO72" s="34"/>
    </row>
    <row r="73" spans="2:41" ht="24.75" thickBot="1" x14ac:dyDescent="0.45">
      <c r="B73" s="41"/>
      <c r="C73" s="21" t="s">
        <v>1</v>
      </c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35">
        <f>IF(AA6="",0,IF(_xlfn.DAYS(AI6,AA6)+1-336&gt;=28,28,IF(_xlfn.DAYS(AI6,AA6)+1-336&lt;0,0,_xlfn.DAYS(AI6,AA6)+1-336)))</f>
        <v>0</v>
      </c>
      <c r="AG73" s="36"/>
      <c r="AH73" s="35">
        <f>AF73-COUNTIF(D73:AE73,"×")</f>
        <v>0</v>
      </c>
      <c r="AI73" s="36"/>
      <c r="AJ73" s="35">
        <f>COUNTIF(D73:AE73,"●")</f>
        <v>0</v>
      </c>
      <c r="AK73" s="37"/>
      <c r="AL73" s="37"/>
      <c r="AM73" s="36"/>
      <c r="AN73" s="38" t="e">
        <f>AJ73/AH73</f>
        <v>#DIV/0!</v>
      </c>
      <c r="AO73" s="38"/>
    </row>
    <row r="74" spans="2:41" ht="24" x14ac:dyDescent="0.4">
      <c r="B74" s="39" t="s">
        <v>32</v>
      </c>
      <c r="C74" s="9" t="s">
        <v>15</v>
      </c>
      <c r="D74" s="20">
        <f>IF($AF$77-1&lt;0,,MONTH($AA$6+364))</f>
        <v>0</v>
      </c>
      <c r="E74" s="20">
        <f>IF($AF$77-2&lt;0,,MONTH($AA$6+365))</f>
        <v>0</v>
      </c>
      <c r="F74" s="20">
        <f>IF($AF$77-3&lt;0,,MONTH($AA$6+366))</f>
        <v>0</v>
      </c>
      <c r="G74" s="20">
        <f>IF($AF$77-4&lt;0,,MONTH($AA$6+367))</f>
        <v>0</v>
      </c>
      <c r="H74" s="20">
        <f>IF($AF$77-5&lt;0,,MONTH($AA$6+368))</f>
        <v>0</v>
      </c>
      <c r="I74" s="20">
        <f>IF($AF$77-6&lt;0,,MONTH($AA$6+369))</f>
        <v>0</v>
      </c>
      <c r="J74" s="20">
        <f>IF($AF$77-7&lt;0,,MONTH($AA$6+370))</f>
        <v>0</v>
      </c>
      <c r="K74" s="20">
        <f>IF($AF$77-8&lt;0,,MONTH($AA$6+371))</f>
        <v>0</v>
      </c>
      <c r="L74" s="20">
        <f>IF($AF$77-9&lt;0,,MONTH($AA$6+372))</f>
        <v>0</v>
      </c>
      <c r="M74" s="20">
        <f>IF($AF$77-10&lt;0,,MONTH($AA$6+373))</f>
        <v>0</v>
      </c>
      <c r="N74" s="20">
        <f>IF($AF$77-11&lt;0,,MONTH($AA$6+374))</f>
        <v>0</v>
      </c>
      <c r="O74" s="20">
        <f>IF($AF$77-12&lt;0,,MONTH($AA$6+375))</f>
        <v>0</v>
      </c>
      <c r="P74" s="20">
        <f>IF($AF$77-13&lt;0,,MONTH($AA$6+376))</f>
        <v>0</v>
      </c>
      <c r="Q74" s="20">
        <f>IF($AF$77-14&lt;0,,MONTH($AA$6+377))</f>
        <v>0</v>
      </c>
      <c r="R74" s="20">
        <f>IF($AF$77-15&lt;0,,MONTH($AA$6+378))</f>
        <v>0</v>
      </c>
      <c r="S74" s="20">
        <f>IF($AF$77-16&lt;0,,MONTH($AA$6+379))</f>
        <v>0</v>
      </c>
      <c r="T74" s="20">
        <f>IF($AF$77-17&lt;0,,MONTH($AA$6+380))</f>
        <v>0</v>
      </c>
      <c r="U74" s="20">
        <f>IF($AF$77-18&lt;0,,MONTH($AA$6+381))</f>
        <v>0</v>
      </c>
      <c r="V74" s="20">
        <f>IF($AF$77-19&lt;0,,MONTH($AA$6+382))</f>
        <v>0</v>
      </c>
      <c r="W74" s="20">
        <f>IF($AF$77-20&lt;0,,MONTH($AA$6+383))</f>
        <v>0</v>
      </c>
      <c r="X74" s="20">
        <f>IF($AF$77-21&lt;0,,MONTH($AA$6+384))</f>
        <v>0</v>
      </c>
      <c r="Y74" s="20">
        <f>IF($AF$77-22&lt;0,,MONTH($AA$6+385))</f>
        <v>0</v>
      </c>
      <c r="Z74" s="20">
        <f>IF($AF$77-23&lt;0,,MONTH($AA$6+386))</f>
        <v>0</v>
      </c>
      <c r="AA74" s="20">
        <f>IF($AF$77-24&lt;0,,MONTH($AA$6+387))</f>
        <v>0</v>
      </c>
      <c r="AB74" s="20">
        <f>IF($AF$77-25&lt;0,,MONTH($AA$6+388))</f>
        <v>0</v>
      </c>
      <c r="AC74" s="20">
        <f>IF($AF$77-26&lt;0,,MONTH($AA$6+389))</f>
        <v>0</v>
      </c>
      <c r="AD74" s="20">
        <f>IF($AF$77-27&lt;0,,MONTH($AA$6+390))</f>
        <v>0</v>
      </c>
      <c r="AE74" s="20">
        <f>IF($AF$77-28&lt;0,,MONTH($AA$6+391))</f>
        <v>0</v>
      </c>
      <c r="AF74" s="42" t="s">
        <v>39</v>
      </c>
      <c r="AG74" s="43"/>
      <c r="AH74" s="43"/>
      <c r="AI74" s="43"/>
      <c r="AJ74" s="43"/>
      <c r="AK74" s="43"/>
      <c r="AL74" s="43"/>
      <c r="AM74" s="44"/>
      <c r="AN74" s="45" t="s">
        <v>5</v>
      </c>
      <c r="AO74" s="45"/>
    </row>
    <row r="75" spans="2:41" ht="24" x14ac:dyDescent="0.4">
      <c r="B75" s="40"/>
      <c r="C75" s="20" t="s">
        <v>11</v>
      </c>
      <c r="D75" s="20">
        <f>IF($AF$77-1&lt;0,,DAY($AA$6+364))</f>
        <v>0</v>
      </c>
      <c r="E75" s="20">
        <f>IF($AF$77-2&lt;0,,DAY($AA$6+365))</f>
        <v>0</v>
      </c>
      <c r="F75" s="20">
        <f>IF($AF$77-3&lt;0,,DAY($AA$6+366))</f>
        <v>0</v>
      </c>
      <c r="G75" s="20">
        <f>IF($AF$77-4&lt;0,,DAY($AA$6+367))</f>
        <v>0</v>
      </c>
      <c r="H75" s="20">
        <f>IF($AF$77-5&lt;0,,DAY($AA$6+368))</f>
        <v>0</v>
      </c>
      <c r="I75" s="20">
        <f>IF($AF$77-6&lt;0,,DAY($AA$6+369))</f>
        <v>0</v>
      </c>
      <c r="J75" s="20">
        <f>IF($AF$77-7&lt;0,,DAY($AA$6+370))</f>
        <v>0</v>
      </c>
      <c r="K75" s="20">
        <f>IF($AF$77-8&lt;0,,DAY($AA$6+371))</f>
        <v>0</v>
      </c>
      <c r="L75" s="20">
        <f>IF($AF$77-9&lt;0,,DAY($AA$6+372))</f>
        <v>0</v>
      </c>
      <c r="M75" s="20">
        <f>IF($AF$77-10&lt;0,,DAY($AA$6+373))</f>
        <v>0</v>
      </c>
      <c r="N75" s="20">
        <f>IF($AF$77-11&lt;0,,DAY($AA$6+374))</f>
        <v>0</v>
      </c>
      <c r="O75" s="20">
        <f>IF($AF$77-12&lt;0,,DAY($AA$6+375))</f>
        <v>0</v>
      </c>
      <c r="P75" s="20">
        <f>IF($AF$77-13&lt;0,,DAY($AA$6+376))</f>
        <v>0</v>
      </c>
      <c r="Q75" s="20">
        <f>IF($AF$77-14&lt;0,,DAY($AA$6+377))</f>
        <v>0</v>
      </c>
      <c r="R75" s="20">
        <f>IF($AF$77-15&lt;0,,DAY($AA$6+378))</f>
        <v>0</v>
      </c>
      <c r="S75" s="20">
        <f>IF($AF$77-16&lt;0,,DAY($AA$6+379))</f>
        <v>0</v>
      </c>
      <c r="T75" s="20">
        <f>IF($AF$77-17&lt;0,,DAY($AA$6+380))</f>
        <v>0</v>
      </c>
      <c r="U75" s="20">
        <f>IF($AF$77-18&lt;0,,DAY($AA$6+381))</f>
        <v>0</v>
      </c>
      <c r="V75" s="20">
        <f>IF($AF$77-19&lt;0,,DAY($AA$6+382))</f>
        <v>0</v>
      </c>
      <c r="W75" s="20">
        <f>IF($AF$77-20&lt;0,,DAY($AA$6+383))</f>
        <v>0</v>
      </c>
      <c r="X75" s="20">
        <f>IF($AF$77-21&lt;0,,DAY($AA$6+384))</f>
        <v>0</v>
      </c>
      <c r="Y75" s="20">
        <f>IF($AF$77-22&lt;0,,DAY($AA$6+385))</f>
        <v>0</v>
      </c>
      <c r="Z75" s="20">
        <f>IF($AF$77-23&lt;0,,DAY($AA$6+386))</f>
        <v>0</v>
      </c>
      <c r="AA75" s="20">
        <f>IF($AF$77-24&lt;0,,DAY($AA$6+387))</f>
        <v>0</v>
      </c>
      <c r="AB75" s="20">
        <f>IF($AF$77-25&lt;0,,DAY($AA$6+388))</f>
        <v>0</v>
      </c>
      <c r="AC75" s="20">
        <f>IF($AF$77-26&lt;0,,DAY($AA$6+389))</f>
        <v>0</v>
      </c>
      <c r="AD75" s="20">
        <f>IF($AF$77-27&lt;0,,DAY($AA$6+390))</f>
        <v>0</v>
      </c>
      <c r="AE75" s="20">
        <f>IF($AF$77-28&lt;0,,DAY($AA$6+391))</f>
        <v>0</v>
      </c>
      <c r="AF75" s="26"/>
      <c r="AG75" s="27"/>
      <c r="AH75" s="47" t="s">
        <v>14</v>
      </c>
      <c r="AI75" s="48"/>
      <c r="AJ75" s="48"/>
      <c r="AK75" s="48"/>
      <c r="AL75" s="48"/>
      <c r="AM75" s="49"/>
      <c r="AN75" s="46"/>
      <c r="AO75" s="46"/>
    </row>
    <row r="76" spans="2:41" ht="24" x14ac:dyDescent="0.4">
      <c r="B76" s="40"/>
      <c r="C76" s="20" t="s">
        <v>16</v>
      </c>
      <c r="D76" s="20" t="str" cm="1">
        <f t="array" ref="D76">IF(D75&gt;0,_xlfn.SWITCH(AE71,"月","火","火","水","水","木","木","金","金","土","土","日","日","月"),"")</f>
        <v/>
      </c>
      <c r="E76" s="20" t="str" cm="1">
        <f t="array" ref="E76">IF(E75&gt;0,_xlfn.SWITCH(D76,"月","火","火","水","水","木","木","金","金","土","土","日","日","月"),"")</f>
        <v/>
      </c>
      <c r="F76" s="20" t="str" cm="1">
        <f t="array" ref="F76">IF(F75&gt;0,_xlfn.SWITCH(E76,"月","火","火","水","水","木","木","金","金","土","土","日","日","月"),"")</f>
        <v/>
      </c>
      <c r="G76" s="20" t="str" cm="1">
        <f t="array" ref="G76">IF(G75&gt;0,_xlfn.SWITCH(F76,"月","火","火","水","水","木","木","金","金","土","土","日","日","月"),"")</f>
        <v/>
      </c>
      <c r="H76" s="20" t="str" cm="1">
        <f t="array" ref="H76">IF(H75&gt;0,_xlfn.SWITCH(G76,"月","火","火","水","水","木","木","金","金","土","土","日","日","月"),"")</f>
        <v/>
      </c>
      <c r="I76" s="20" t="str" cm="1">
        <f t="array" ref="I76">IF(I75&gt;0,_xlfn.SWITCH(H76,"月","火","火","水","水","木","木","金","金","土","土","日","日","月"),"")</f>
        <v/>
      </c>
      <c r="J76" s="20" t="str" cm="1">
        <f t="array" ref="J76">IF(J75&gt;0,_xlfn.SWITCH(I76,"月","火","火","水","水","木","木","金","金","土","土","日","日","月"),"")</f>
        <v/>
      </c>
      <c r="K76" s="20" t="str" cm="1">
        <f t="array" ref="K76">IF(K75&gt;0,_xlfn.SWITCH(J76,"月","火","火","水","水","木","木","金","金","土","土","日","日","月"),"")</f>
        <v/>
      </c>
      <c r="L76" s="20" t="str" cm="1">
        <f t="array" ref="L76">IF(L75&gt;0,_xlfn.SWITCH(K76,"月","火","火","水","水","木","木","金","金","土","土","日","日","月"),"")</f>
        <v/>
      </c>
      <c r="M76" s="20" t="str" cm="1">
        <f t="array" ref="M76">IF(M75&gt;0,_xlfn.SWITCH(L76,"月","火","火","水","水","木","木","金","金","土","土","日","日","月"),"")</f>
        <v/>
      </c>
      <c r="N76" s="20" t="str" cm="1">
        <f t="array" ref="N76">IF(N75&gt;0,_xlfn.SWITCH(M76,"月","火","火","水","水","木","木","金","金","土","土","日","日","月"),"")</f>
        <v/>
      </c>
      <c r="O76" s="20" t="str" cm="1">
        <f t="array" ref="O76">IF(O75&gt;0,_xlfn.SWITCH(N76,"月","火","火","水","水","木","木","金","金","土","土","日","日","月"),"")</f>
        <v/>
      </c>
      <c r="P76" s="20" t="str" cm="1">
        <f t="array" ref="P76">IF(P75&gt;0,_xlfn.SWITCH(O76,"月","火","火","水","水","木","木","金","金","土","土","日","日","月"),"")</f>
        <v/>
      </c>
      <c r="Q76" s="20" t="str" cm="1">
        <f t="array" ref="Q76">IF(Q75&gt;0,_xlfn.SWITCH(P76,"月","火","火","水","水","木","木","金","金","土","土","日","日","月"),"")</f>
        <v/>
      </c>
      <c r="R76" s="20" t="str" cm="1">
        <f t="array" ref="R76">IF(R75&gt;0,_xlfn.SWITCH(Q76,"月","火","火","水","水","木","木","金","金","土","土","日","日","月"),"")</f>
        <v/>
      </c>
      <c r="S76" s="20" t="str" cm="1">
        <f t="array" ref="S76">IF(S75&gt;0,_xlfn.SWITCH(R76,"月","火","火","水","水","木","木","金","金","土","土","日","日","月"),"")</f>
        <v/>
      </c>
      <c r="T76" s="20" t="str" cm="1">
        <f t="array" ref="T76">IF(T75&gt;0,_xlfn.SWITCH(S76,"月","火","火","水","水","木","木","金","金","土","土","日","日","月"),"")</f>
        <v/>
      </c>
      <c r="U76" s="20" t="str" cm="1">
        <f t="array" ref="U76">IF(U75&gt;0,_xlfn.SWITCH(T76,"月","火","火","水","水","木","木","金","金","土","土","日","日","月"),"")</f>
        <v/>
      </c>
      <c r="V76" s="20" t="str" cm="1">
        <f t="array" ref="V76">IF(V75&gt;0,_xlfn.SWITCH(U76,"月","火","火","水","水","木","木","金","金","土","土","日","日","月"),"")</f>
        <v/>
      </c>
      <c r="W76" s="20" t="str" cm="1">
        <f t="array" ref="W76">IF(W75&gt;0,_xlfn.SWITCH(V76,"月","火","火","水","水","木","木","金","金","土","土","日","日","月"),"")</f>
        <v/>
      </c>
      <c r="X76" s="20" t="str" cm="1">
        <f t="array" ref="X76">IF(X75&gt;0,_xlfn.SWITCH(W76,"月","火","火","水","水","木","木","金","金","土","土","日","日","月"),"")</f>
        <v/>
      </c>
      <c r="Y76" s="20" t="str" cm="1">
        <f t="array" ref="Y76">IF(Y75&gt;0,_xlfn.SWITCH(X76,"月","火","火","水","水","木","木","金","金","土","土","日","日","月"),"")</f>
        <v/>
      </c>
      <c r="Z76" s="20" t="str" cm="1">
        <f t="array" ref="Z76">IF(Z75&gt;0,_xlfn.SWITCH(Y76,"月","火","火","水","水","木","木","金","金","土","土","日","日","月"),"")</f>
        <v/>
      </c>
      <c r="AA76" s="20" t="str" cm="1">
        <f t="array" ref="AA76">IF(AA75&gt;0,_xlfn.SWITCH(Z76,"月","火","火","水","水","木","木","金","金","土","土","日","日","月"),"")</f>
        <v/>
      </c>
      <c r="AB76" s="20" t="str" cm="1">
        <f t="array" ref="AB76">IF(AB75&gt;0,_xlfn.SWITCH(AA76,"月","火","火","水","水","木","木","金","金","土","土","日","日","月"),"")</f>
        <v/>
      </c>
      <c r="AC76" s="20" t="str" cm="1">
        <f t="array" ref="AC76">IF(AC75&gt;0,_xlfn.SWITCH(AB76,"月","火","火","水","水","木","木","金","金","土","土","日","日","月"),"")</f>
        <v/>
      </c>
      <c r="AD76" s="20" t="str" cm="1">
        <f t="array" ref="AD76">IF(AD75&gt;0,_xlfn.SWITCH(AC76,"月","火","火","水","水","木","木","金","金","土","土","日","日","月"),"")</f>
        <v/>
      </c>
      <c r="AE76" s="20" t="str" cm="1">
        <f t="array" ref="AE76">IF(AE75&gt;0,_xlfn.SWITCH(AD76,"月","火","火","水","水","木","木","金","金","土","土","日","日","月"),"")</f>
        <v/>
      </c>
      <c r="AF76" s="28"/>
      <c r="AG76" s="7"/>
      <c r="AH76" s="11"/>
      <c r="AI76" s="7"/>
      <c r="AJ76" s="50" t="s">
        <v>12</v>
      </c>
      <c r="AK76" s="51"/>
      <c r="AL76" s="51"/>
      <c r="AM76" s="52"/>
      <c r="AN76" s="46"/>
      <c r="AO76" s="46"/>
    </row>
    <row r="77" spans="2:41" ht="24" x14ac:dyDescent="0.4">
      <c r="B77" s="40"/>
      <c r="C77" s="19" t="s">
        <v>0</v>
      </c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31">
        <f>IF(AA6="",0,IF(_xlfn.DAYS(AI6,AA6)+1-364&gt;=28,28,IF(_xlfn.DAYS(AI6,AA6)+1-364&lt;0,0,_xlfn.DAYS(AI6,AA6)+1-364)))</f>
        <v>0</v>
      </c>
      <c r="AG77" s="33"/>
      <c r="AH77" s="53">
        <f>AF77-COUNTIF(D77:AE77,"×")</f>
        <v>0</v>
      </c>
      <c r="AI77" s="54"/>
      <c r="AJ77" s="31">
        <f>COUNTIF(D77:AE77,"●")</f>
        <v>0</v>
      </c>
      <c r="AK77" s="32"/>
      <c r="AL77" s="32"/>
      <c r="AM77" s="33"/>
      <c r="AN77" s="34" t="e">
        <f>AJ77/AH77</f>
        <v>#DIV/0!</v>
      </c>
      <c r="AO77" s="34"/>
    </row>
    <row r="78" spans="2:41" ht="24.75" thickBot="1" x14ac:dyDescent="0.45">
      <c r="B78" s="41"/>
      <c r="C78" s="21" t="s">
        <v>1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35">
        <f>IF(AA6="",0,IF(_xlfn.DAYS(AI6,AA6)+1-364&gt;=28,28,IF(_xlfn.DAYS(AI6,AA6)+1-364&lt;0,0,_xlfn.DAYS(AI6,AA6)+1-364)))</f>
        <v>0</v>
      </c>
      <c r="AG78" s="36"/>
      <c r="AH78" s="35">
        <f>AF78-COUNTIF(D78:AE78,"×")</f>
        <v>0</v>
      </c>
      <c r="AI78" s="36"/>
      <c r="AJ78" s="35">
        <f>COUNTIF(D78:AE78,"●")</f>
        <v>0</v>
      </c>
      <c r="AK78" s="37"/>
      <c r="AL78" s="37"/>
      <c r="AM78" s="36"/>
      <c r="AN78" s="38" t="e">
        <f>AJ78/AH78</f>
        <v>#DIV/0!</v>
      </c>
      <c r="AO78" s="38"/>
    </row>
    <row r="79" spans="2:41" ht="33" x14ac:dyDescent="0.4">
      <c r="D79" s="5" t="s">
        <v>13</v>
      </c>
    </row>
  </sheetData>
  <sheetProtection sheet="1" selectLockedCells="1"/>
  <mergeCells count="197">
    <mergeCell ref="AB2:AO2"/>
    <mergeCell ref="B3:AO3"/>
    <mergeCell ref="B5:C5"/>
    <mergeCell ref="D5:W5"/>
    <mergeCell ref="X5:Z5"/>
    <mergeCell ref="AA5:AO5"/>
    <mergeCell ref="B6:C6"/>
    <mergeCell ref="D6:W6"/>
    <mergeCell ref="X6:Z6"/>
    <mergeCell ref="AA6:AD6"/>
    <mergeCell ref="AI6:AL6"/>
    <mergeCell ref="B7:C7"/>
    <mergeCell ref="D7:W7"/>
    <mergeCell ref="X7:Z7"/>
    <mergeCell ref="AA7:AO7"/>
    <mergeCell ref="B14:B18"/>
    <mergeCell ref="AF14:AM14"/>
    <mergeCell ref="AN14:AO16"/>
    <mergeCell ref="AH15:AM15"/>
    <mergeCell ref="AJ16:AM16"/>
    <mergeCell ref="AF17:AG17"/>
    <mergeCell ref="AH17:AI17"/>
    <mergeCell ref="B9:B13"/>
    <mergeCell ref="AF9:AM9"/>
    <mergeCell ref="AN9:AO11"/>
    <mergeCell ref="AH10:AM10"/>
    <mergeCell ref="AJ11:AM11"/>
    <mergeCell ref="AF12:AG12"/>
    <mergeCell ref="AH12:AI12"/>
    <mergeCell ref="AJ12:AM12"/>
    <mergeCell ref="AN12:AO12"/>
    <mergeCell ref="AF13:AG13"/>
    <mergeCell ref="AJ17:AM17"/>
    <mergeCell ref="AN17:AO17"/>
    <mergeCell ref="AF18:AG18"/>
    <mergeCell ref="AH18:AI18"/>
    <mergeCell ref="AJ18:AM18"/>
    <mergeCell ref="AN18:AO18"/>
    <mergeCell ref="AH13:AI13"/>
    <mergeCell ref="AJ13:AM13"/>
    <mergeCell ref="AN13:AO13"/>
    <mergeCell ref="B24:B28"/>
    <mergeCell ref="AF24:AM24"/>
    <mergeCell ref="AN24:AO26"/>
    <mergeCell ref="AH25:AM25"/>
    <mergeCell ref="AJ26:AM26"/>
    <mergeCell ref="AF27:AG27"/>
    <mergeCell ref="AH27:AI27"/>
    <mergeCell ref="B19:B23"/>
    <mergeCell ref="AF19:AM19"/>
    <mergeCell ref="AN19:AO21"/>
    <mergeCell ref="AH20:AM20"/>
    <mergeCell ref="AJ21:AM21"/>
    <mergeCell ref="AF22:AG22"/>
    <mergeCell ref="AH22:AI22"/>
    <mergeCell ref="AJ22:AM22"/>
    <mergeCell ref="AN22:AO22"/>
    <mergeCell ref="AF23:AG23"/>
    <mergeCell ref="AJ27:AM27"/>
    <mergeCell ref="AN27:AO27"/>
    <mergeCell ref="AF28:AG28"/>
    <mergeCell ref="AH28:AI28"/>
    <mergeCell ref="AJ28:AM28"/>
    <mergeCell ref="AN28:AO28"/>
    <mergeCell ref="AH23:AI23"/>
    <mergeCell ref="AJ23:AM23"/>
    <mergeCell ref="AN23:AO23"/>
    <mergeCell ref="B34:B38"/>
    <mergeCell ref="AF34:AM34"/>
    <mergeCell ref="AN34:AO36"/>
    <mergeCell ref="AH35:AM35"/>
    <mergeCell ref="AJ36:AM36"/>
    <mergeCell ref="AF37:AG37"/>
    <mergeCell ref="AH37:AI37"/>
    <mergeCell ref="B29:B33"/>
    <mergeCell ref="AF29:AM29"/>
    <mergeCell ref="AN29:AO31"/>
    <mergeCell ref="AH30:AM30"/>
    <mergeCell ref="AJ31:AM31"/>
    <mergeCell ref="AF32:AG32"/>
    <mergeCell ref="AH32:AI32"/>
    <mergeCell ref="AJ32:AM32"/>
    <mergeCell ref="AN32:AO32"/>
    <mergeCell ref="AF33:AG33"/>
    <mergeCell ref="AJ37:AM37"/>
    <mergeCell ref="AN37:AO37"/>
    <mergeCell ref="AF38:AG38"/>
    <mergeCell ref="AH38:AI38"/>
    <mergeCell ref="AJ38:AM38"/>
    <mergeCell ref="AN38:AO38"/>
    <mergeCell ref="AH33:AI33"/>
    <mergeCell ref="AJ33:AM33"/>
    <mergeCell ref="AN33:AO33"/>
    <mergeCell ref="B44:B48"/>
    <mergeCell ref="AF44:AM44"/>
    <mergeCell ref="AN44:AO46"/>
    <mergeCell ref="AH45:AM45"/>
    <mergeCell ref="AJ46:AM46"/>
    <mergeCell ref="AF47:AG47"/>
    <mergeCell ref="AH47:AI47"/>
    <mergeCell ref="B39:B43"/>
    <mergeCell ref="AF39:AM39"/>
    <mergeCell ref="AN39:AO41"/>
    <mergeCell ref="AH40:AM40"/>
    <mergeCell ref="AJ41:AM41"/>
    <mergeCell ref="AF42:AG42"/>
    <mergeCell ref="AH42:AI42"/>
    <mergeCell ref="AJ42:AM42"/>
    <mergeCell ref="AN42:AO42"/>
    <mergeCell ref="AF43:AG43"/>
    <mergeCell ref="AJ47:AM47"/>
    <mergeCell ref="AN47:AO47"/>
    <mergeCell ref="AF48:AG48"/>
    <mergeCell ref="AH48:AI48"/>
    <mergeCell ref="AJ48:AM48"/>
    <mergeCell ref="AN48:AO48"/>
    <mergeCell ref="AH43:AI43"/>
    <mergeCell ref="AJ43:AM43"/>
    <mergeCell ref="AN43:AO43"/>
    <mergeCell ref="B54:B58"/>
    <mergeCell ref="AF54:AM54"/>
    <mergeCell ref="AN54:AO56"/>
    <mergeCell ref="AH55:AM55"/>
    <mergeCell ref="AJ56:AM56"/>
    <mergeCell ref="AF57:AG57"/>
    <mergeCell ref="AH57:AI57"/>
    <mergeCell ref="B49:B53"/>
    <mergeCell ref="AF49:AM49"/>
    <mergeCell ref="AN49:AO51"/>
    <mergeCell ref="AH50:AM50"/>
    <mergeCell ref="AJ51:AM51"/>
    <mergeCell ref="AF52:AG52"/>
    <mergeCell ref="AH52:AI52"/>
    <mergeCell ref="AJ52:AM52"/>
    <mergeCell ref="AN52:AO52"/>
    <mergeCell ref="AF53:AG53"/>
    <mergeCell ref="AJ57:AM57"/>
    <mergeCell ref="AN57:AO57"/>
    <mergeCell ref="AF58:AG58"/>
    <mergeCell ref="AH58:AI58"/>
    <mergeCell ref="AJ58:AM58"/>
    <mergeCell ref="AN58:AO58"/>
    <mergeCell ref="AH53:AI53"/>
    <mergeCell ref="AJ53:AM53"/>
    <mergeCell ref="AN53:AO53"/>
    <mergeCell ref="B64:B68"/>
    <mergeCell ref="AF64:AM64"/>
    <mergeCell ref="AN64:AO66"/>
    <mergeCell ref="AH65:AM65"/>
    <mergeCell ref="AJ66:AM66"/>
    <mergeCell ref="AF67:AG67"/>
    <mergeCell ref="AH67:AI67"/>
    <mergeCell ref="B59:B63"/>
    <mergeCell ref="AF59:AM59"/>
    <mergeCell ref="AN59:AO61"/>
    <mergeCell ref="AH60:AM60"/>
    <mergeCell ref="AJ61:AM61"/>
    <mergeCell ref="AF62:AG62"/>
    <mergeCell ref="AH62:AI62"/>
    <mergeCell ref="AJ62:AM62"/>
    <mergeCell ref="AN62:AO62"/>
    <mergeCell ref="AF63:AG63"/>
    <mergeCell ref="AJ67:AM67"/>
    <mergeCell ref="AN67:AO67"/>
    <mergeCell ref="AF68:AG68"/>
    <mergeCell ref="AH68:AI68"/>
    <mergeCell ref="AJ68:AM68"/>
    <mergeCell ref="AN68:AO68"/>
    <mergeCell ref="AH63:AI63"/>
    <mergeCell ref="AJ63:AM63"/>
    <mergeCell ref="AN63:AO63"/>
    <mergeCell ref="B74:B78"/>
    <mergeCell ref="AF74:AM74"/>
    <mergeCell ref="AN74:AO76"/>
    <mergeCell ref="AH75:AM75"/>
    <mergeCell ref="AJ76:AM76"/>
    <mergeCell ref="AF77:AG77"/>
    <mergeCell ref="AH77:AI77"/>
    <mergeCell ref="B69:B73"/>
    <mergeCell ref="AF69:AM69"/>
    <mergeCell ref="AN69:AO71"/>
    <mergeCell ref="AH70:AM70"/>
    <mergeCell ref="AJ71:AM71"/>
    <mergeCell ref="AF72:AG72"/>
    <mergeCell ref="AH72:AI72"/>
    <mergeCell ref="AJ72:AM72"/>
    <mergeCell ref="AN72:AO72"/>
    <mergeCell ref="AF73:AG73"/>
    <mergeCell ref="AJ77:AM77"/>
    <mergeCell ref="AN77:AO77"/>
    <mergeCell ref="AF78:AG78"/>
    <mergeCell ref="AH78:AI78"/>
    <mergeCell ref="AJ78:AM78"/>
    <mergeCell ref="AN78:AO78"/>
    <mergeCell ref="AH73:AI73"/>
    <mergeCell ref="AJ73:AM73"/>
    <mergeCell ref="AN73:AO73"/>
  </mergeCells>
  <phoneticPr fontId="1"/>
  <conditionalFormatting sqref="D63:AE63 D67:AE68 D73:AE73 D78:AE78">
    <cfRule type="cellIs" dxfId="81" priority="41" operator="equal">
      <formula>"×"</formula>
    </cfRule>
  </conditionalFormatting>
  <conditionalFormatting sqref="D18:AE18 D23:AE23 D28:AE28 D33:AE33 D38:AE38 D43:AE43 D48:AE48 D58:AE58 D12:AE13 D53:AE53">
    <cfRule type="cellIs" dxfId="80" priority="40" operator="equal">
      <formula>"×"</formula>
    </cfRule>
  </conditionalFormatting>
  <conditionalFormatting sqref="D22:F22 I22:T22 AD22:AE22 W22:AA22">
    <cfRule type="cellIs" dxfId="79" priority="39" operator="equal">
      <formula>"×"</formula>
    </cfRule>
  </conditionalFormatting>
  <conditionalFormatting sqref="D27:F27 I27:M27 AD27:AE27 W27:AA27 P27:T27">
    <cfRule type="cellIs" dxfId="78" priority="38" operator="equal">
      <formula>"×"</formula>
    </cfRule>
  </conditionalFormatting>
  <conditionalFormatting sqref="D32:F32 I32:M32 AD32:AE32 W32:AA32 P32:T32">
    <cfRule type="cellIs" dxfId="77" priority="37" operator="equal">
      <formula>"×"</formula>
    </cfRule>
  </conditionalFormatting>
  <conditionalFormatting sqref="D37:F37 I37:M37 AD37:AE37 W37:AA37 P37:T37">
    <cfRule type="cellIs" dxfId="76" priority="36" operator="equal">
      <formula>"×"</formula>
    </cfRule>
  </conditionalFormatting>
  <conditionalFormatting sqref="D42:F42 I42:M42 AD42:AE42 W42:AA42 P42:T42">
    <cfRule type="cellIs" dxfId="75" priority="35" operator="equal">
      <formula>"×"</formula>
    </cfRule>
  </conditionalFormatting>
  <conditionalFormatting sqref="D47:F47 I47:T47 AD47:AE47 W47:AA47">
    <cfRule type="cellIs" dxfId="74" priority="34" operator="equal">
      <formula>"×"</formula>
    </cfRule>
  </conditionalFormatting>
  <conditionalFormatting sqref="D52:F52 I52:AE52">
    <cfRule type="cellIs" dxfId="73" priority="33" operator="equal">
      <formula>"×"</formula>
    </cfRule>
  </conditionalFormatting>
  <conditionalFormatting sqref="D57:AE57">
    <cfRule type="cellIs" dxfId="72" priority="32" operator="equal">
      <formula>"×"</formula>
    </cfRule>
  </conditionalFormatting>
  <conditionalFormatting sqref="D62:AE62">
    <cfRule type="cellIs" dxfId="71" priority="31" operator="equal">
      <formula>"×"</formula>
    </cfRule>
  </conditionalFormatting>
  <conditionalFormatting sqref="D72:AE72">
    <cfRule type="cellIs" dxfId="70" priority="30" operator="equal">
      <formula>"×"</formula>
    </cfRule>
  </conditionalFormatting>
  <conditionalFormatting sqref="D77:AE77">
    <cfRule type="cellIs" dxfId="69" priority="29" operator="equal">
      <formula>"×"</formula>
    </cfRule>
  </conditionalFormatting>
  <conditionalFormatting sqref="D17:F17 I17:M17 AD17:AE17 W17:AA17 P17:T17">
    <cfRule type="cellIs" dxfId="68" priority="28" operator="equal">
      <formula>"×"</formula>
    </cfRule>
  </conditionalFormatting>
  <conditionalFormatting sqref="G17:H17">
    <cfRule type="cellIs" dxfId="67" priority="27" operator="equal">
      <formula>"×"</formula>
    </cfRule>
  </conditionalFormatting>
  <conditionalFormatting sqref="G22:H22">
    <cfRule type="cellIs" dxfId="66" priority="26" operator="equal">
      <formula>"×"</formula>
    </cfRule>
  </conditionalFormatting>
  <conditionalFormatting sqref="G27:H27">
    <cfRule type="cellIs" dxfId="65" priority="25" operator="equal">
      <formula>"×"</formula>
    </cfRule>
  </conditionalFormatting>
  <conditionalFormatting sqref="G32:H32">
    <cfRule type="cellIs" dxfId="64" priority="24" operator="equal">
      <formula>"×"</formula>
    </cfRule>
  </conditionalFormatting>
  <conditionalFormatting sqref="G37:H37">
    <cfRule type="cellIs" dxfId="63" priority="23" operator="equal">
      <formula>"×"</formula>
    </cfRule>
  </conditionalFormatting>
  <conditionalFormatting sqref="G42:H42">
    <cfRule type="cellIs" dxfId="62" priority="22" operator="equal">
      <formula>"×"</formula>
    </cfRule>
  </conditionalFormatting>
  <conditionalFormatting sqref="G52:H52">
    <cfRule type="cellIs" dxfId="61" priority="21" operator="equal">
      <formula>"×"</formula>
    </cfRule>
  </conditionalFormatting>
  <conditionalFormatting sqref="G47:H47">
    <cfRule type="cellIs" dxfId="60" priority="20" operator="equal">
      <formula>"×"</formula>
    </cfRule>
  </conditionalFormatting>
  <conditionalFormatting sqref="AB17:AC17">
    <cfRule type="cellIs" dxfId="59" priority="19" operator="equal">
      <formula>"×"</formula>
    </cfRule>
  </conditionalFormatting>
  <conditionalFormatting sqref="AB22:AC22">
    <cfRule type="cellIs" dxfId="58" priority="18" operator="equal">
      <formula>"×"</formula>
    </cfRule>
  </conditionalFormatting>
  <conditionalFormatting sqref="AB27:AC27">
    <cfRule type="cellIs" dxfId="57" priority="17" operator="equal">
      <formula>"×"</formula>
    </cfRule>
  </conditionalFormatting>
  <conditionalFormatting sqref="AB32:AC32">
    <cfRule type="cellIs" dxfId="56" priority="16" operator="equal">
      <formula>"×"</formula>
    </cfRule>
  </conditionalFormatting>
  <conditionalFormatting sqref="AB37:AC37">
    <cfRule type="cellIs" dxfId="55" priority="15" operator="equal">
      <formula>"×"</formula>
    </cfRule>
  </conditionalFormatting>
  <conditionalFormatting sqref="AB42:AC42">
    <cfRule type="cellIs" dxfId="54" priority="14" operator="equal">
      <formula>"×"</formula>
    </cfRule>
  </conditionalFormatting>
  <conditionalFormatting sqref="AB47:AC47">
    <cfRule type="cellIs" dxfId="53" priority="13" operator="equal">
      <formula>"×"</formula>
    </cfRule>
  </conditionalFormatting>
  <conditionalFormatting sqref="U17:V17">
    <cfRule type="cellIs" dxfId="52" priority="12" operator="equal">
      <formula>"×"</formula>
    </cfRule>
  </conditionalFormatting>
  <conditionalFormatting sqref="U22:V22">
    <cfRule type="cellIs" dxfId="51" priority="11" operator="equal">
      <formula>"×"</formula>
    </cfRule>
  </conditionalFormatting>
  <conditionalFormatting sqref="U27:V27">
    <cfRule type="cellIs" dxfId="50" priority="10" operator="equal">
      <formula>"×"</formula>
    </cfRule>
  </conditionalFormatting>
  <conditionalFormatting sqref="U32:V32">
    <cfRule type="cellIs" dxfId="49" priority="9" operator="equal">
      <formula>"×"</formula>
    </cfRule>
  </conditionalFormatting>
  <conditionalFormatting sqref="U37:V37">
    <cfRule type="cellIs" dxfId="48" priority="8" operator="equal">
      <formula>"×"</formula>
    </cfRule>
  </conditionalFormatting>
  <conditionalFormatting sqref="U42:V42">
    <cfRule type="cellIs" dxfId="47" priority="7" operator="equal">
      <formula>"×"</formula>
    </cfRule>
  </conditionalFormatting>
  <conditionalFormatting sqref="U47:V47">
    <cfRule type="cellIs" dxfId="46" priority="6" operator="equal">
      <formula>"×"</formula>
    </cfRule>
  </conditionalFormatting>
  <conditionalFormatting sqref="N17:O17">
    <cfRule type="cellIs" dxfId="45" priority="5" operator="equal">
      <formula>"×"</formula>
    </cfRule>
  </conditionalFormatting>
  <conditionalFormatting sqref="N27:O27">
    <cfRule type="cellIs" dxfId="44" priority="4" operator="equal">
      <formula>"×"</formula>
    </cfRule>
  </conditionalFormatting>
  <conditionalFormatting sqref="N32:O32">
    <cfRule type="cellIs" dxfId="43" priority="3" operator="equal">
      <formula>"×"</formula>
    </cfRule>
  </conditionalFormatting>
  <conditionalFormatting sqref="N37:O37">
    <cfRule type="cellIs" dxfId="42" priority="2" operator="equal">
      <formula>"×"</formula>
    </cfRule>
  </conditionalFormatting>
  <conditionalFormatting sqref="N42:O42">
    <cfRule type="cellIs" dxfId="41" priority="1" operator="equal">
      <formula>"×"</formula>
    </cfRule>
  </conditionalFormatting>
  <dataValidations count="1">
    <dataValidation type="list" allowBlank="1" showInputMessage="1" showErrorMessage="1" sqref="D77:AE78 D62:AE63 D67:AE68 D32:AE33 D17:AE18 D12:AE13 D37:AE38 D47:AE48 D22:AE23 D72:AE73 D42:AE43 D27:AE28 D57:AE58 D52:AE53" xr:uid="{ADFE99D6-3932-4F35-A096-2AEF62BF08B6}">
      <formula1>"●,×"</formula1>
    </dataValidation>
  </dataValidations>
  <pageMargins left="0.39370078740157483" right="0.39370078740157483" top="0.78740157480314965" bottom="0" header="0.31496062992125984" footer="0.31496062992125984"/>
  <pageSetup paperSize="9" scale="3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20053-B442-4895-9A2A-4D525721955F}">
  <sheetPr>
    <pageSetUpPr fitToPage="1"/>
  </sheetPr>
  <dimension ref="B2:BQ79"/>
  <sheetViews>
    <sheetView view="pageBreakPreview" topLeftCell="A37" zoomScale="70" zoomScaleNormal="55" zoomScaleSheetLayoutView="70" workbookViewId="0">
      <selection activeCell="B3" sqref="B3:AO3"/>
    </sheetView>
  </sheetViews>
  <sheetFormatPr defaultRowHeight="19.5" x14ac:dyDescent="0.4"/>
  <cols>
    <col min="1" max="1" width="2.625" style="3" customWidth="1"/>
    <col min="2" max="2" width="11.75" style="3" customWidth="1"/>
    <col min="3" max="3" width="7.75" style="4" customWidth="1"/>
    <col min="4" max="39" width="5.375" style="3" customWidth="1"/>
    <col min="40" max="41" width="6.5" style="3" customWidth="1"/>
    <col min="42" max="42" width="1.625" style="3" customWidth="1"/>
    <col min="43" max="69" width="3.625" style="3" customWidth="1"/>
    <col min="70" max="70" width="2.625" style="3" customWidth="1"/>
    <col min="71" max="16384" width="9" style="3"/>
  </cols>
  <sheetData>
    <row r="2" spans="2:69" ht="39.950000000000003" customHeight="1" x14ac:dyDescent="0.4">
      <c r="B2" s="1" t="s">
        <v>10</v>
      </c>
      <c r="C2" s="2"/>
      <c r="D2" s="2"/>
      <c r="E2" s="2"/>
      <c r="K2" s="29"/>
      <c r="N2" s="30"/>
      <c r="O2" s="30"/>
      <c r="AB2" s="70" t="s">
        <v>41</v>
      </c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</row>
    <row r="3" spans="2:69" ht="40.5" x14ac:dyDescent="0.4">
      <c r="B3" s="71" t="s">
        <v>9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</row>
    <row r="4" spans="2:69" ht="10.5" customHeight="1" x14ac:dyDescent="0.4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</row>
    <row r="5" spans="2:69" ht="40.5" customHeight="1" x14ac:dyDescent="0.4">
      <c r="B5" s="62" t="s">
        <v>18</v>
      </c>
      <c r="C5" s="62"/>
      <c r="D5" s="69" t="s">
        <v>33</v>
      </c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5"/>
      <c r="X5" s="62" t="s">
        <v>7</v>
      </c>
      <c r="Y5" s="62"/>
      <c r="Z5" s="62"/>
      <c r="AA5" s="72">
        <v>46182</v>
      </c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4"/>
    </row>
    <row r="6" spans="2:69" ht="40.5" customHeight="1" x14ac:dyDescent="0.4">
      <c r="B6" s="62" t="s">
        <v>17</v>
      </c>
      <c r="C6" s="62"/>
      <c r="D6" s="63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5"/>
      <c r="X6" s="62" t="s">
        <v>6</v>
      </c>
      <c r="Y6" s="62"/>
      <c r="Z6" s="62"/>
      <c r="AA6" s="66">
        <v>46183</v>
      </c>
      <c r="AB6" s="67"/>
      <c r="AC6" s="67"/>
      <c r="AD6" s="67"/>
      <c r="AE6" s="13" t="s">
        <v>37</v>
      </c>
      <c r="AF6" s="13" t="s">
        <v>36</v>
      </c>
      <c r="AG6" s="13" t="s">
        <v>38</v>
      </c>
      <c r="AH6" s="13" t="s">
        <v>40</v>
      </c>
      <c r="AI6" s="68">
        <v>46416</v>
      </c>
      <c r="AJ6" s="68"/>
      <c r="AK6" s="68"/>
      <c r="AL6" s="68"/>
      <c r="AM6" s="13" t="s">
        <v>37</v>
      </c>
      <c r="AN6" s="13" t="str">
        <f>TEXT(AI6,"aaa")</f>
        <v>金</v>
      </c>
      <c r="AO6" s="14" t="s">
        <v>38</v>
      </c>
    </row>
    <row r="7" spans="2:69" ht="40.5" customHeight="1" x14ac:dyDescent="0.4">
      <c r="B7" s="62" t="s">
        <v>4</v>
      </c>
      <c r="C7" s="62"/>
      <c r="D7" s="69" t="s">
        <v>34</v>
      </c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5"/>
      <c r="X7" s="62" t="s">
        <v>8</v>
      </c>
      <c r="Y7" s="62"/>
      <c r="Z7" s="62"/>
      <c r="AA7" s="69" t="s">
        <v>35</v>
      </c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5"/>
    </row>
    <row r="8" spans="2:69" ht="19.5" customHeight="1" thickBot="1" x14ac:dyDescent="0.45">
      <c r="C8" s="3"/>
    </row>
    <row r="9" spans="2:69" ht="24" x14ac:dyDescent="0.4">
      <c r="B9" s="39" t="s">
        <v>19</v>
      </c>
      <c r="C9" s="9" t="s">
        <v>15</v>
      </c>
      <c r="D9" s="9">
        <f>IF($AF$12-1&lt;=0,,MONTH($AA$6))</f>
        <v>6</v>
      </c>
      <c r="E9" s="9">
        <f>IF($AF$12-2&lt;0,,MONTH($AA$6+1))</f>
        <v>6</v>
      </c>
      <c r="F9" s="9">
        <f>IF($AF$12-3&lt;0,,MONTH($AA$6+2))</f>
        <v>6</v>
      </c>
      <c r="G9" s="9">
        <f>IF($AF$12-4&lt;0,,MONTH($AA$6+3))</f>
        <v>6</v>
      </c>
      <c r="H9" s="9">
        <f>IF($AF$12-5&lt;0,,MONTH($AA$6+4))</f>
        <v>6</v>
      </c>
      <c r="I9" s="9">
        <f>IF($AF$12-6&lt;0,,MONTH($AA$6+5))</f>
        <v>6</v>
      </c>
      <c r="J9" s="9">
        <f>IF($AF$12-7&lt;0,,MONTH($AA$6+6))</f>
        <v>6</v>
      </c>
      <c r="K9" s="9">
        <f>IF($AF$12-8&lt;0,,MONTH($AA$6+7))</f>
        <v>6</v>
      </c>
      <c r="L9" s="9">
        <f>IF($AF$12-9&lt;0,,MONTH($AA$6+8))</f>
        <v>6</v>
      </c>
      <c r="M9" s="9">
        <f>IF($AF$12-10&lt;0,,MONTH($AA$6+9))</f>
        <v>6</v>
      </c>
      <c r="N9" s="9">
        <f>IF($AF$12-11&lt;0,,MONTH($AA$6+10))</f>
        <v>6</v>
      </c>
      <c r="O9" s="9">
        <f>IF($AF$12-12&lt;0,,MONTH($AA$6+11))</f>
        <v>6</v>
      </c>
      <c r="P9" s="9">
        <f>IF($AF$12-13&lt;0,,MONTH($AA$6+12))</f>
        <v>6</v>
      </c>
      <c r="Q9" s="9">
        <f>IF($AF$12-14&lt;0,,MONTH($AA$6+13))</f>
        <v>6</v>
      </c>
      <c r="R9" s="9">
        <f>IF($AF$12-15&lt;0,,MONTH($AA$6+14))</f>
        <v>6</v>
      </c>
      <c r="S9" s="9">
        <f>IF($AF$12-16&lt;0,,MONTH($AA$6+15))</f>
        <v>6</v>
      </c>
      <c r="T9" s="9">
        <f>IF($AF$12-17&lt;0,,MONTH($AA$6+16))</f>
        <v>6</v>
      </c>
      <c r="U9" s="9">
        <f>IF($AF$12-18&lt;0,,MONTH($AA$6+17))</f>
        <v>6</v>
      </c>
      <c r="V9" s="9">
        <f>IF($AF$12-19&lt;0,,MONTH($AA$6+18))</f>
        <v>6</v>
      </c>
      <c r="W9" s="9">
        <f>IF($AF$12-20&lt;0,,MONTH($AA$6+19))</f>
        <v>6</v>
      </c>
      <c r="X9" s="9">
        <f>IF($AF$12-21&lt;0,,MONTH($AA$6+20))</f>
        <v>6</v>
      </c>
      <c r="Y9" s="9">
        <f>IF($AF$12-22&lt;0,,MONTH($AA$6+21))</f>
        <v>7</v>
      </c>
      <c r="Z9" s="9">
        <f>IF($AF$12-23&lt;0,,MONTH($AA$6+22))</f>
        <v>7</v>
      </c>
      <c r="AA9" s="9">
        <f>IF($AF$12-24&lt;0,,MONTH($AA$6+23))</f>
        <v>7</v>
      </c>
      <c r="AB9" s="9">
        <f>IF($AF$12-25&lt;0,,MONTH($AA$6+24))</f>
        <v>7</v>
      </c>
      <c r="AC9" s="9">
        <f>IF($AF$12-26&lt;0,,MONTH($AA$6+25))</f>
        <v>7</v>
      </c>
      <c r="AD9" s="9">
        <f>IF($AF$12-27&lt;0,,MONTH($AA$6+26))</f>
        <v>7</v>
      </c>
      <c r="AE9" s="9">
        <f>IF($AF$12-28&lt;0,,MONTH($AA$6+27))</f>
        <v>7</v>
      </c>
      <c r="AF9" s="42" t="s">
        <v>39</v>
      </c>
      <c r="AG9" s="43"/>
      <c r="AH9" s="43"/>
      <c r="AI9" s="43"/>
      <c r="AJ9" s="43"/>
      <c r="AK9" s="43"/>
      <c r="AL9" s="43"/>
      <c r="AM9" s="44"/>
      <c r="AN9" s="45" t="s">
        <v>5</v>
      </c>
      <c r="AO9" s="45"/>
    </row>
    <row r="10" spans="2:69" ht="24" x14ac:dyDescent="0.4">
      <c r="B10" s="40"/>
      <c r="C10" s="18" t="s">
        <v>11</v>
      </c>
      <c r="D10" s="20">
        <f>IF($AF$12-1&lt;=0,,DAY($AA$6))</f>
        <v>10</v>
      </c>
      <c r="E10" s="20">
        <f>IF($AF$12-2&lt;0,,DAY($AA$6+1))</f>
        <v>11</v>
      </c>
      <c r="F10" s="20">
        <f>IF($AF$12-3&lt;0,,DAY($AA$6+2))</f>
        <v>12</v>
      </c>
      <c r="G10" s="20">
        <f>IF($AF$12-4&lt;0,,DAY($AA$6+3))</f>
        <v>13</v>
      </c>
      <c r="H10" s="20">
        <f>IF($AF$12-5&lt;0,,DAY($AA$6+4))</f>
        <v>14</v>
      </c>
      <c r="I10" s="20">
        <f>IF($AF$12-6&lt;0,,DAY($AA$6+5))</f>
        <v>15</v>
      </c>
      <c r="J10" s="20">
        <f>IF($AF$12-7&lt;0,,DAY($AA$6+6))</f>
        <v>16</v>
      </c>
      <c r="K10" s="20">
        <f>IF($AF$12-8&lt;0,,DAY($AA$6+7))</f>
        <v>17</v>
      </c>
      <c r="L10" s="20">
        <f>IF($AF$12-9&lt;0,,DAY($AA$6+8))</f>
        <v>18</v>
      </c>
      <c r="M10" s="20">
        <f>IF($AF$12-10&lt;0,,DAY($AA$6+9))</f>
        <v>19</v>
      </c>
      <c r="N10" s="20">
        <f>IF($AF$12-11&lt;0,,DAY($AA$6+10))</f>
        <v>20</v>
      </c>
      <c r="O10" s="20">
        <f>IF($AF$12-12&lt;0,,DAY($AA$6+11))</f>
        <v>21</v>
      </c>
      <c r="P10" s="20">
        <f>IF($AF$12-13&lt;0,,DAY($AA$6+12))</f>
        <v>22</v>
      </c>
      <c r="Q10" s="20">
        <f>IF($AF$12-14&lt;0,,DAY($AA$6+13))</f>
        <v>23</v>
      </c>
      <c r="R10" s="20">
        <f>IF($AF$12-15&lt;0,,DAY($AA$6+14))</f>
        <v>24</v>
      </c>
      <c r="S10" s="20">
        <f>IF($AF$12-16&lt;0,,DAY($AA$6+15))</f>
        <v>25</v>
      </c>
      <c r="T10" s="20">
        <f>IF($AF$12-17&lt;0,,DAY($AA$6+16))</f>
        <v>26</v>
      </c>
      <c r="U10" s="20">
        <f>IF($AF$12-18&lt;0,,DAY($AA$6+17))</f>
        <v>27</v>
      </c>
      <c r="V10" s="20">
        <f>IF($AF$12-19&lt;0,,DAY($AA$6+18))</f>
        <v>28</v>
      </c>
      <c r="W10" s="20">
        <f>IF($AF$12-20&lt;0,,DAY($AA$6+19))</f>
        <v>29</v>
      </c>
      <c r="X10" s="20">
        <f>IF($AF$12-21&lt;0,,DAY($AA$6+20))</f>
        <v>30</v>
      </c>
      <c r="Y10" s="20">
        <f>IF($AF$12-22&lt;0,,DAY($AA$6+21))</f>
        <v>1</v>
      </c>
      <c r="Z10" s="20">
        <f>IF($AF$12-23&lt;0,,DAY($AA$6+22))</f>
        <v>2</v>
      </c>
      <c r="AA10" s="20">
        <f>IF($AF$12-24&lt;0,,DAY($AA$6+23))</f>
        <v>3</v>
      </c>
      <c r="AB10" s="20">
        <f>IF($AF$12-25&lt;0,,DAY($AA$6+24))</f>
        <v>4</v>
      </c>
      <c r="AC10" s="20">
        <f>IF($AF$12-26&lt;0,,DAY($AA$6+25))</f>
        <v>5</v>
      </c>
      <c r="AD10" s="20">
        <f>IF($AF$12-27&lt;0,,DAY($AA$6+26))</f>
        <v>6</v>
      </c>
      <c r="AE10" s="20">
        <f>IF($AF$12-28&lt;0,,DAY($AA$6+27))</f>
        <v>7</v>
      </c>
      <c r="AF10" s="26"/>
      <c r="AG10" s="27"/>
      <c r="AH10" s="47" t="s">
        <v>14</v>
      </c>
      <c r="AI10" s="48"/>
      <c r="AJ10" s="48"/>
      <c r="AK10" s="48"/>
      <c r="AL10" s="48"/>
      <c r="AM10" s="49"/>
      <c r="AN10" s="46"/>
      <c r="AO10" s="46"/>
    </row>
    <row r="11" spans="2:69" ht="24" x14ac:dyDescent="0.4">
      <c r="B11" s="40"/>
      <c r="C11" s="18" t="s">
        <v>16</v>
      </c>
      <c r="D11" s="18" t="str">
        <f>TEXT(AA6,"aaa")</f>
        <v>水</v>
      </c>
      <c r="E11" s="18" t="str" cm="1">
        <f t="array" ref="E11">IF(E10&gt;0,_xlfn.SWITCH(D11,"月","火","火","水","水","木","木","金","金","土","土","日","日","月"),"")</f>
        <v>木</v>
      </c>
      <c r="F11" s="18" t="str" cm="1">
        <f t="array" ref="F11">IF(F10&gt;0,_xlfn.SWITCH(E11,"月","火","火","水","水","木","木","金","金","土","土","日","日","月"),"")</f>
        <v>金</v>
      </c>
      <c r="G11" s="18" t="str" cm="1">
        <f t="array" ref="G11">IF(G10&gt;0,_xlfn.SWITCH(F11,"月","火","火","水","水","木","木","金","金","土","土","日","日","月"),"")</f>
        <v>土</v>
      </c>
      <c r="H11" s="18" t="str" cm="1">
        <f t="array" ref="H11">IF(H10&gt;0,_xlfn.SWITCH(G11,"月","火","火","水","水","木","木","金","金","土","土","日","日","月"),"")</f>
        <v>日</v>
      </c>
      <c r="I11" s="18" t="str" cm="1">
        <f t="array" ref="I11">IF(I10&gt;0,_xlfn.SWITCH(H11,"月","火","火","水","水","木","木","金","金","土","土","日","日","月"),"")</f>
        <v>月</v>
      </c>
      <c r="J11" s="18" t="str" cm="1">
        <f t="array" ref="J11">IF(J10&gt;0,_xlfn.SWITCH(I11,"月","火","火","水","水","木","木","金","金","土","土","日","日","月"),"")</f>
        <v>火</v>
      </c>
      <c r="K11" s="18" t="str" cm="1">
        <f t="array" ref="K11">IF(K10&gt;0,_xlfn.SWITCH(J11,"月","火","火","水","水","木","木","金","金","土","土","日","日","月"),"")</f>
        <v>水</v>
      </c>
      <c r="L11" s="18" t="str" cm="1">
        <f t="array" ref="L11">IF(L10&gt;0,_xlfn.SWITCH(K11,"月","火","火","水","水","木","木","金","金","土","土","日","日","月"),"")</f>
        <v>木</v>
      </c>
      <c r="M11" s="18" t="str" cm="1">
        <f t="array" ref="M11">IF(M10&gt;0,_xlfn.SWITCH(L11,"月","火","火","水","水","木","木","金","金","土","土","日","日","月"),"")</f>
        <v>金</v>
      </c>
      <c r="N11" s="18" t="str" cm="1">
        <f t="array" ref="N11">IF(N10&gt;0,_xlfn.SWITCH(M11,"月","火","火","水","水","木","木","金","金","土","土","日","日","月"),"")</f>
        <v>土</v>
      </c>
      <c r="O11" s="18" t="str" cm="1">
        <f t="array" ref="O11">IF(O10&gt;0,_xlfn.SWITCH(N11,"月","火","火","水","水","木","木","金","金","土","土","日","日","月"),"")</f>
        <v>日</v>
      </c>
      <c r="P11" s="18" t="str" cm="1">
        <f t="array" ref="P11">IF(P10&gt;0,_xlfn.SWITCH(O11,"月","火","火","水","水","木","木","金","金","土","土","日","日","月"),"")</f>
        <v>月</v>
      </c>
      <c r="Q11" s="18" t="str" cm="1">
        <f t="array" ref="Q11">IF(Q10&gt;0,_xlfn.SWITCH(P11,"月","火","火","水","水","木","木","金","金","土","土","日","日","月"),"")</f>
        <v>火</v>
      </c>
      <c r="R11" s="18" t="str" cm="1">
        <f t="array" ref="R11">IF(R10&gt;0,_xlfn.SWITCH(Q11,"月","火","火","水","水","木","木","金","金","土","土","日","日","月"),"")</f>
        <v>水</v>
      </c>
      <c r="S11" s="18" t="str" cm="1">
        <f t="array" ref="S11">IF(S10&gt;0,_xlfn.SWITCH(R11,"月","火","火","水","水","木","木","金","金","土","土","日","日","月"),"")</f>
        <v>木</v>
      </c>
      <c r="T11" s="18" t="str" cm="1">
        <f t="array" ref="T11">IF(T10&gt;0,_xlfn.SWITCH(S11,"月","火","火","水","水","木","木","金","金","土","土","日","日","月"),"")</f>
        <v>金</v>
      </c>
      <c r="U11" s="18" t="str" cm="1">
        <f t="array" ref="U11">IF(U10&gt;0,_xlfn.SWITCH(T11,"月","火","火","水","水","木","木","金","金","土","土","日","日","月"),"")</f>
        <v>土</v>
      </c>
      <c r="V11" s="18" t="str" cm="1">
        <f t="array" ref="V11">IF(V10&gt;0,_xlfn.SWITCH(U11,"月","火","火","水","水","木","木","金","金","土","土","日","日","月"),"")</f>
        <v>日</v>
      </c>
      <c r="W11" s="18" t="str" cm="1">
        <f t="array" ref="W11">IF(W10&gt;0,_xlfn.SWITCH(V11,"月","火","火","水","水","木","木","金","金","土","土","日","日","月"),"")</f>
        <v>月</v>
      </c>
      <c r="X11" s="18" t="str" cm="1">
        <f t="array" ref="X11">IF(X10&gt;0,_xlfn.SWITCH(W11,"月","火","火","水","水","木","木","金","金","土","土","日","日","月"),"")</f>
        <v>火</v>
      </c>
      <c r="Y11" s="18" t="str" cm="1">
        <f t="array" ref="Y11">IF(Y10&gt;0,_xlfn.SWITCH(X11,"月","火","火","水","水","木","木","金","金","土","土","日","日","月"),"")</f>
        <v>水</v>
      </c>
      <c r="Z11" s="18" t="str" cm="1">
        <f t="array" ref="Z11">IF(Z10&gt;0,_xlfn.SWITCH(Y11,"月","火","火","水","水","木","木","金","金","土","土","日","日","月"),"")</f>
        <v>木</v>
      </c>
      <c r="AA11" s="18" t="str" cm="1">
        <f t="array" ref="AA11">IF(AA10&gt;0,_xlfn.SWITCH(Z11,"月","火","火","水","水","木","木","金","金","土","土","日","日","月"),"")</f>
        <v>金</v>
      </c>
      <c r="AB11" s="18" t="str" cm="1">
        <f t="array" ref="AB11">IF(AB10&gt;0,_xlfn.SWITCH(AA11,"月","火","火","水","水","木","木","金","金","土","土","日","日","月"),"")</f>
        <v>土</v>
      </c>
      <c r="AC11" s="18" t="str" cm="1">
        <f t="array" ref="AC11">IF(AC10&gt;0,_xlfn.SWITCH(AB11,"月","火","火","水","水","木","木","金","金","土","土","日","日","月"),"")</f>
        <v>日</v>
      </c>
      <c r="AD11" s="18" t="str" cm="1">
        <f t="array" ref="AD11">IF(AD10&gt;0,_xlfn.SWITCH(AC11,"月","火","火","水","水","木","木","金","金","土","土","日","日","月"),"")</f>
        <v>月</v>
      </c>
      <c r="AE11" s="18" t="str" cm="1">
        <f t="array" ref="AE11">IF(AE10&gt;0,_xlfn.SWITCH(AD11,"月","火","火","水","水","木","木","金","金","土","土","日","日","月"),"")</f>
        <v>火</v>
      </c>
      <c r="AF11" s="28"/>
      <c r="AG11" s="7"/>
      <c r="AH11" s="11"/>
      <c r="AI11" s="7"/>
      <c r="AJ11" s="50" t="s">
        <v>12</v>
      </c>
      <c r="AK11" s="51"/>
      <c r="AL11" s="51"/>
      <c r="AM11" s="52"/>
      <c r="AN11" s="46"/>
      <c r="AO11" s="46"/>
    </row>
    <row r="12" spans="2:69" ht="24" x14ac:dyDescent="0.4">
      <c r="B12" s="40"/>
      <c r="C12" s="15" t="s">
        <v>0</v>
      </c>
      <c r="D12" s="10"/>
      <c r="E12" s="10"/>
      <c r="F12" s="10"/>
      <c r="G12" s="10" t="s">
        <v>2</v>
      </c>
      <c r="H12" s="10" t="s">
        <v>2</v>
      </c>
      <c r="I12" s="10"/>
      <c r="J12" s="10"/>
      <c r="K12" s="10"/>
      <c r="L12" s="10"/>
      <c r="M12" s="10"/>
      <c r="N12" s="10" t="s">
        <v>2</v>
      </c>
      <c r="O12" s="10" t="s">
        <v>2</v>
      </c>
      <c r="P12" s="10"/>
      <c r="Q12" s="10"/>
      <c r="R12" s="10"/>
      <c r="S12" s="10"/>
      <c r="T12" s="10"/>
      <c r="U12" s="10" t="s">
        <v>2</v>
      </c>
      <c r="V12" s="10" t="s">
        <v>2</v>
      </c>
      <c r="W12" s="10"/>
      <c r="X12" s="10"/>
      <c r="Y12" s="10"/>
      <c r="Z12" s="10"/>
      <c r="AA12" s="10"/>
      <c r="AB12" s="10" t="s">
        <v>2</v>
      </c>
      <c r="AC12" s="10" t="s">
        <v>2</v>
      </c>
      <c r="AD12" s="10"/>
      <c r="AE12" s="10"/>
      <c r="AF12" s="31">
        <f>IF(AA6="",0,IF(_xlfn.DAYS(AI6,AA6)+1&gt;=28,28,IF(_xlfn.DAYS(AI6,AA6)+1&lt;0,0,_xlfn.DAYS(AI6,AA6)+1)))</f>
        <v>28</v>
      </c>
      <c r="AG12" s="33"/>
      <c r="AH12" s="53">
        <f>AF12-COUNTIF(D12:AE12,"×")</f>
        <v>28</v>
      </c>
      <c r="AI12" s="54"/>
      <c r="AJ12" s="53">
        <f>COUNTIF(D12:AE12,"●")</f>
        <v>8</v>
      </c>
      <c r="AK12" s="61"/>
      <c r="AL12" s="61"/>
      <c r="AM12" s="54"/>
      <c r="AN12" s="34">
        <f>AJ12/AH12</f>
        <v>0.2857142857142857</v>
      </c>
      <c r="AO12" s="34"/>
    </row>
    <row r="13" spans="2:69" ht="24.75" thickBot="1" x14ac:dyDescent="0.45">
      <c r="B13" s="41"/>
      <c r="C13" s="12" t="s">
        <v>1</v>
      </c>
      <c r="D13" s="8"/>
      <c r="E13" s="8"/>
      <c r="F13" s="8"/>
      <c r="G13" s="8" t="s">
        <v>2</v>
      </c>
      <c r="H13" s="8" t="s">
        <v>2</v>
      </c>
      <c r="I13" s="8"/>
      <c r="J13" s="8"/>
      <c r="K13" s="8"/>
      <c r="L13" s="8"/>
      <c r="M13" s="8"/>
      <c r="N13" s="8" t="s">
        <v>2</v>
      </c>
      <c r="O13" s="8" t="s">
        <v>2</v>
      </c>
      <c r="P13" s="8"/>
      <c r="Q13" s="8"/>
      <c r="R13" s="8"/>
      <c r="S13" s="8"/>
      <c r="T13" s="8"/>
      <c r="U13" s="8" t="s">
        <v>2</v>
      </c>
      <c r="V13" s="8" t="s">
        <v>2</v>
      </c>
      <c r="W13" s="8"/>
      <c r="X13" s="8"/>
      <c r="Y13" s="8" t="s">
        <v>2</v>
      </c>
      <c r="Z13" s="8"/>
      <c r="AA13" s="8"/>
      <c r="AB13" s="8"/>
      <c r="AC13" s="8" t="s">
        <v>2</v>
      </c>
      <c r="AD13" s="8"/>
      <c r="AE13" s="8"/>
      <c r="AF13" s="35">
        <f>IF(AA6="",0,IF(_xlfn.DAYS(AI6,AA6)+1&gt;=28,28,IF(_xlfn.DAYS(AI6,AA6)+1&lt;0,0,_xlfn.DAYS(AI6,AA6)+1)))</f>
        <v>28</v>
      </c>
      <c r="AG13" s="36"/>
      <c r="AH13" s="35">
        <f>AF13-COUNTIF(D13:AE13,"×")</f>
        <v>28</v>
      </c>
      <c r="AI13" s="36"/>
      <c r="AJ13" s="35">
        <f>COUNTIF(D13:AE13,"●")</f>
        <v>8</v>
      </c>
      <c r="AK13" s="37"/>
      <c r="AL13" s="37"/>
      <c r="AM13" s="36"/>
      <c r="AN13" s="38">
        <f>AJ13/AH13</f>
        <v>0.2857142857142857</v>
      </c>
      <c r="AO13" s="38"/>
    </row>
    <row r="14" spans="2:69" ht="24" x14ac:dyDescent="0.4">
      <c r="B14" s="39" t="s">
        <v>20</v>
      </c>
      <c r="C14" s="9" t="s">
        <v>15</v>
      </c>
      <c r="D14" s="18">
        <f>IF($AF$17-1&lt;0,,MONTH($AA$6+28))</f>
        <v>7</v>
      </c>
      <c r="E14" s="18">
        <f>IF($AF$17-2&lt;0,,MONTH($AA$6+29))</f>
        <v>7</v>
      </c>
      <c r="F14" s="18">
        <f>IF($AF$17-3&lt;0,,MONTH($AA$6+30))</f>
        <v>7</v>
      </c>
      <c r="G14" s="18">
        <f>IF($AF$17-4&lt;0,,MONTH($AA$6+31))</f>
        <v>7</v>
      </c>
      <c r="H14" s="18">
        <f>IF($AF$17-5&lt;0,,MONTH($AA$6+32))</f>
        <v>7</v>
      </c>
      <c r="I14" s="18">
        <f>IF($AF$17-6&lt;0,,MONTH($AA$6+33))</f>
        <v>7</v>
      </c>
      <c r="J14" s="18">
        <f>IF($AF$17-7&lt;0,,MONTH($AA$6+34))</f>
        <v>7</v>
      </c>
      <c r="K14" s="18">
        <f>IF($AF$17-8&lt;0,,MONTH($AA$6+35))</f>
        <v>7</v>
      </c>
      <c r="L14" s="18">
        <f>IF($AF$17-9&lt;0,,MONTH($AA$6+36))</f>
        <v>7</v>
      </c>
      <c r="M14" s="18">
        <f>IF($AF$17-10&lt;0,,MONTH($AA$6+37))</f>
        <v>7</v>
      </c>
      <c r="N14" s="18">
        <f>IF($AF$17-11&lt;0,,MONTH($AA$6+38))</f>
        <v>7</v>
      </c>
      <c r="O14" s="18">
        <f>IF($AF$17-12&lt;0,,MONTH($AA$6+39))</f>
        <v>7</v>
      </c>
      <c r="P14" s="18">
        <f>IF($AF$17-13&lt;0,,MONTH($AA$6+40))</f>
        <v>7</v>
      </c>
      <c r="Q14" s="18">
        <f>IF($AF$17-14&lt;0,,MONTH($AA$6+41))</f>
        <v>7</v>
      </c>
      <c r="R14" s="18">
        <f>IF($AF$17-15&lt;0,,MONTH($AA$6+42))</f>
        <v>7</v>
      </c>
      <c r="S14" s="18">
        <f>IF($AF$17-16&lt;0,,MONTH($AA$6+43))</f>
        <v>7</v>
      </c>
      <c r="T14" s="18">
        <f>IF($AF$17-17&lt;0,,MONTH($AA$6+44))</f>
        <v>7</v>
      </c>
      <c r="U14" s="18">
        <f>IF($AF$17-18&lt;0,,MONTH($AA$6+45))</f>
        <v>7</v>
      </c>
      <c r="V14" s="18">
        <f>IF($AF$17-19&lt;0,,MONTH($AA$6+46))</f>
        <v>7</v>
      </c>
      <c r="W14" s="18">
        <f>IF($AF$17-20&lt;0,,MONTH($AA$6+47))</f>
        <v>7</v>
      </c>
      <c r="X14" s="18">
        <f>IF($AF$17-21&lt;0,,MONTH($AA$6+48))</f>
        <v>7</v>
      </c>
      <c r="Y14" s="18">
        <f>IF($AF$17-22&lt;0,,MONTH($AA$6+49))</f>
        <v>7</v>
      </c>
      <c r="Z14" s="18">
        <f>IF($AF$17-23&lt;0,,MONTH($AA$6+50))</f>
        <v>7</v>
      </c>
      <c r="AA14" s="18">
        <f>IF($AF$17-24&lt;0,,MONTH($AA$6+51))</f>
        <v>7</v>
      </c>
      <c r="AB14" s="18">
        <f>IF($AF$17-25&lt;0,,MONTH($AA$6+52))</f>
        <v>8</v>
      </c>
      <c r="AC14" s="18">
        <f>IF($AF$17-26&lt;0,,MONTH($AA$6+53))</f>
        <v>8</v>
      </c>
      <c r="AD14" s="18">
        <f>IF($AF$17-27&lt;0,,MONTH($AA$6+54))</f>
        <v>8</v>
      </c>
      <c r="AE14" s="18">
        <f>IF($AF$17-28&lt;0,,MONTH($AA$6+55))</f>
        <v>8</v>
      </c>
      <c r="AF14" s="55" t="s">
        <v>39</v>
      </c>
      <c r="AG14" s="56"/>
      <c r="AH14" s="59"/>
      <c r="AI14" s="59"/>
      <c r="AJ14" s="59"/>
      <c r="AK14" s="59"/>
      <c r="AL14" s="59"/>
      <c r="AM14" s="60"/>
      <c r="AN14" s="45" t="s">
        <v>5</v>
      </c>
      <c r="AO14" s="45"/>
    </row>
    <row r="15" spans="2:69" ht="24" x14ac:dyDescent="0.4">
      <c r="B15" s="40"/>
      <c r="C15" s="18" t="s">
        <v>11</v>
      </c>
      <c r="D15" s="18">
        <f>IF($AF$17-1&lt;0,,DAY($AA$6+28))</f>
        <v>8</v>
      </c>
      <c r="E15" s="18">
        <f>IF($AF$17-2&lt;0,,DAY($AA$6+29))</f>
        <v>9</v>
      </c>
      <c r="F15" s="18">
        <f>IF($AF$17-3&lt;0,,DAY($AA$6+30))</f>
        <v>10</v>
      </c>
      <c r="G15" s="18">
        <f>IF($AF$17-4&lt;0,,DAY($AA$6+31))</f>
        <v>11</v>
      </c>
      <c r="H15" s="18">
        <f>IF($AF$17-5&lt;0,,DAY($AA$6+32))</f>
        <v>12</v>
      </c>
      <c r="I15" s="18">
        <f>IF($AF$17-6&lt;0,,DAY($AA$6+33))</f>
        <v>13</v>
      </c>
      <c r="J15" s="18">
        <f>IF($AF$17-7&lt;0,,DAY($AA$6+34))</f>
        <v>14</v>
      </c>
      <c r="K15" s="18">
        <f>IF($AF$17-8&lt;0,,DAY($AA$6+35))</f>
        <v>15</v>
      </c>
      <c r="L15" s="18">
        <f>IF($AF$17-9&lt;0,,DAY($AA$6+36))</f>
        <v>16</v>
      </c>
      <c r="M15" s="18">
        <f>IF($AF$17-10&lt;0,,DAY($AA$6+37))</f>
        <v>17</v>
      </c>
      <c r="N15" s="18">
        <f>IF($AF$17-11&lt;0,,DAY($AA$6+38))</f>
        <v>18</v>
      </c>
      <c r="O15" s="18">
        <f>IF($AF$17-12&lt;0,,DAY($AA$6+39))</f>
        <v>19</v>
      </c>
      <c r="P15" s="18">
        <f>IF($AF$17-13&lt;0,,DAY($AA$6+40))</f>
        <v>20</v>
      </c>
      <c r="Q15" s="18">
        <f>IF($AF$17-14&lt;0,,DAY($AA$6+41))</f>
        <v>21</v>
      </c>
      <c r="R15" s="18">
        <f>IF($AF$17-15&lt;0,,DAY($AA$6+42))</f>
        <v>22</v>
      </c>
      <c r="S15" s="18">
        <f>IF($AF$17-16&lt;0,,DAY($AA$6+43))</f>
        <v>23</v>
      </c>
      <c r="T15" s="18">
        <f>IF($AF$17-17&lt;0,,DAY($AA$6+44))</f>
        <v>24</v>
      </c>
      <c r="U15" s="18">
        <f>IF($AF$17-18&lt;0,,DAY($AA$6+45))</f>
        <v>25</v>
      </c>
      <c r="V15" s="18">
        <f>IF($AF$17-19&lt;0,,DAY($AA$6+46))</f>
        <v>26</v>
      </c>
      <c r="W15" s="18">
        <f>IF($AF$17-20&lt;0,,DAY($AA$6+47))</f>
        <v>27</v>
      </c>
      <c r="X15" s="18">
        <f>IF($AF$17-21&lt;0,,DAY($AA$6+48))</f>
        <v>28</v>
      </c>
      <c r="Y15" s="18">
        <f>IF($AF$17-22&lt;0,,DAY($AA$6+49))</f>
        <v>29</v>
      </c>
      <c r="Z15" s="18">
        <f>IF($AF$17-23&lt;0,,DAY($AA$6+50))</f>
        <v>30</v>
      </c>
      <c r="AA15" s="18">
        <f>IF($AF$17-24&lt;0,,DAY($AA$6+51))</f>
        <v>31</v>
      </c>
      <c r="AB15" s="18">
        <f>IF($AF$17-25&lt;0,,DAY($AA$6+52))</f>
        <v>1</v>
      </c>
      <c r="AC15" s="18">
        <f>IF($AF$17-26&lt;0,,DAY($AA$6+53))</f>
        <v>2</v>
      </c>
      <c r="AD15" s="18">
        <f>IF($AF$17-27&lt;0,,DAY($AA$6+54))</f>
        <v>3</v>
      </c>
      <c r="AE15" s="18">
        <f>IF($AF$17-28&lt;0,,DAY($AA$6+55))</f>
        <v>4</v>
      </c>
      <c r="AF15" s="26"/>
      <c r="AG15" s="27"/>
      <c r="AH15" s="47" t="s">
        <v>14</v>
      </c>
      <c r="AI15" s="48"/>
      <c r="AJ15" s="48"/>
      <c r="AK15" s="48"/>
      <c r="AL15" s="48"/>
      <c r="AM15" s="49"/>
      <c r="AN15" s="46"/>
      <c r="AO15" s="46"/>
    </row>
    <row r="16" spans="2:69" ht="24" x14ac:dyDescent="0.4">
      <c r="B16" s="40"/>
      <c r="C16" s="18" t="s">
        <v>16</v>
      </c>
      <c r="D16" s="18" t="str" cm="1">
        <f t="array" ref="D16">IF(D15&gt;0,_xlfn.SWITCH(AE11,"月","火","火","水","水","木","木","金","金","土","土","日","日","月"),"")</f>
        <v>水</v>
      </c>
      <c r="E16" s="18" t="str" cm="1">
        <f t="array" ref="E16">IF(E15&gt;0,_xlfn.SWITCH(D16,"月","火","火","水","水","木","木","金","金","土","土","日","日","月"),"")</f>
        <v>木</v>
      </c>
      <c r="F16" s="18" t="str" cm="1">
        <f t="array" ref="F16">IF(F15&gt;0,_xlfn.SWITCH(E16,"月","火","火","水","水","木","木","金","金","土","土","日","日","月"),"")</f>
        <v>金</v>
      </c>
      <c r="G16" s="18" t="str" cm="1">
        <f t="array" ref="G16">IF(G15&gt;0,_xlfn.SWITCH(F16,"月","火","火","水","水","木","木","金","金","土","土","日","日","月"),"")</f>
        <v>土</v>
      </c>
      <c r="H16" s="18" t="str" cm="1">
        <f t="array" ref="H16">IF(H15&gt;0,_xlfn.SWITCH(G16,"月","火","火","水","水","木","木","金","金","土","土","日","日","月"),"")</f>
        <v>日</v>
      </c>
      <c r="I16" s="18" t="str" cm="1">
        <f t="array" ref="I16">IF(I15&gt;0,_xlfn.SWITCH(H16,"月","火","火","水","水","木","木","金","金","土","土","日","日","月"),"")</f>
        <v>月</v>
      </c>
      <c r="J16" s="18" t="str" cm="1">
        <f t="array" ref="J16">IF(J15&gt;0,_xlfn.SWITCH(I16,"月","火","火","水","水","木","木","金","金","土","土","日","日","月"),"")</f>
        <v>火</v>
      </c>
      <c r="K16" s="18" t="str" cm="1">
        <f t="array" ref="K16">IF(K15&gt;0,_xlfn.SWITCH(J16,"月","火","火","水","水","木","木","金","金","土","土","日","日","月"),"")</f>
        <v>水</v>
      </c>
      <c r="L16" s="18" t="str" cm="1">
        <f t="array" ref="L16">IF(L15&gt;0,_xlfn.SWITCH(K16,"月","火","火","水","水","木","木","金","金","土","土","日","日","月"),"")</f>
        <v>木</v>
      </c>
      <c r="M16" s="18" t="str" cm="1">
        <f t="array" ref="M16">IF(M15&gt;0,_xlfn.SWITCH(L16,"月","火","火","水","水","木","木","金","金","土","土","日","日","月"),"")</f>
        <v>金</v>
      </c>
      <c r="N16" s="18" t="str" cm="1">
        <f t="array" ref="N16">IF(N15&gt;0,_xlfn.SWITCH(M16,"月","火","火","水","水","木","木","金","金","土","土","日","日","月"),"")</f>
        <v>土</v>
      </c>
      <c r="O16" s="18" t="str" cm="1">
        <f t="array" ref="O16">IF(O15&gt;0,_xlfn.SWITCH(N16,"月","火","火","水","水","木","木","金","金","土","土","日","日","月"),"")</f>
        <v>日</v>
      </c>
      <c r="P16" s="18" t="str" cm="1">
        <f t="array" ref="P16">IF(P15&gt;0,_xlfn.SWITCH(O16,"月","火","火","水","水","木","木","金","金","土","土","日","日","月"),"")</f>
        <v>月</v>
      </c>
      <c r="Q16" s="18" t="str" cm="1">
        <f t="array" ref="Q16">IF(Q15&gt;0,_xlfn.SWITCH(P16,"月","火","火","水","水","木","木","金","金","土","土","日","日","月"),"")</f>
        <v>火</v>
      </c>
      <c r="R16" s="18" t="str" cm="1">
        <f t="array" ref="R16">IF(R15&gt;0,_xlfn.SWITCH(Q16,"月","火","火","水","水","木","木","金","金","土","土","日","日","月"),"")</f>
        <v>水</v>
      </c>
      <c r="S16" s="18" t="str" cm="1">
        <f t="array" ref="S16">IF(S15&gt;0,_xlfn.SWITCH(R16,"月","火","火","水","水","木","木","金","金","土","土","日","日","月"),"")</f>
        <v>木</v>
      </c>
      <c r="T16" s="18" t="str" cm="1">
        <f t="array" ref="T16">IF(T15&gt;0,_xlfn.SWITCH(S16,"月","火","火","水","水","木","木","金","金","土","土","日","日","月"),"")</f>
        <v>金</v>
      </c>
      <c r="U16" s="18" t="str" cm="1">
        <f t="array" ref="U16">IF(U15&gt;0,_xlfn.SWITCH(T16,"月","火","火","水","水","木","木","金","金","土","土","日","日","月"),"")</f>
        <v>土</v>
      </c>
      <c r="V16" s="18" t="str" cm="1">
        <f t="array" ref="V16">IF(V15&gt;0,_xlfn.SWITCH(U16,"月","火","火","水","水","木","木","金","金","土","土","日","日","月"),"")</f>
        <v>日</v>
      </c>
      <c r="W16" s="18" t="str" cm="1">
        <f t="array" ref="W16">IF(W15&gt;0,_xlfn.SWITCH(V16,"月","火","火","水","水","木","木","金","金","土","土","日","日","月"),"")</f>
        <v>月</v>
      </c>
      <c r="X16" s="18" t="str" cm="1">
        <f t="array" ref="X16">IF(X15&gt;0,_xlfn.SWITCH(W16,"月","火","火","水","水","木","木","金","金","土","土","日","日","月"),"")</f>
        <v>火</v>
      </c>
      <c r="Y16" s="18" t="str" cm="1">
        <f t="array" ref="Y16">IF(Y15&gt;0,_xlfn.SWITCH(X16,"月","火","火","水","水","木","木","金","金","土","土","日","日","月"),"")</f>
        <v>水</v>
      </c>
      <c r="Z16" s="18" t="str" cm="1">
        <f t="array" ref="Z16">IF(Z15&gt;0,_xlfn.SWITCH(Y16,"月","火","火","水","水","木","木","金","金","土","土","日","日","月"),"")</f>
        <v>木</v>
      </c>
      <c r="AA16" s="18" t="str" cm="1">
        <f t="array" ref="AA16">IF(AA15&gt;0,_xlfn.SWITCH(Z16,"月","火","火","水","水","木","木","金","金","土","土","日","日","月"),"")</f>
        <v>金</v>
      </c>
      <c r="AB16" s="18" t="str" cm="1">
        <f t="array" ref="AB16">IF(AB15&gt;0,_xlfn.SWITCH(AA16,"月","火","火","水","水","木","木","金","金","土","土","日","日","月"),"")</f>
        <v>土</v>
      </c>
      <c r="AC16" s="18" t="str" cm="1">
        <f t="array" ref="AC16">IF(AC15&gt;0,_xlfn.SWITCH(AB16,"月","火","火","水","水","木","木","金","金","土","土","日","日","月"),"")</f>
        <v>日</v>
      </c>
      <c r="AD16" s="18" t="str" cm="1">
        <f t="array" ref="AD16">IF(AD15&gt;0,_xlfn.SWITCH(AC16,"月","火","火","水","水","木","木","金","金","土","土","日","日","月"),"")</f>
        <v>月</v>
      </c>
      <c r="AE16" s="18" t="str" cm="1">
        <f t="array" ref="AE16">IF(AE15&gt;0,_xlfn.SWITCH(AD16,"月","火","火","水","水","木","木","金","金","土","土","日","日","月"),"")</f>
        <v>火</v>
      </c>
      <c r="AF16" s="28"/>
      <c r="AG16" s="7"/>
      <c r="AH16" s="11"/>
      <c r="AI16" s="7"/>
      <c r="AJ16" s="50" t="s">
        <v>12</v>
      </c>
      <c r="AK16" s="51"/>
      <c r="AL16" s="51"/>
      <c r="AM16" s="52"/>
      <c r="AN16" s="46"/>
      <c r="AO16" s="46"/>
    </row>
    <row r="17" spans="2:41" ht="24" x14ac:dyDescent="0.4">
      <c r="B17" s="40"/>
      <c r="C17" s="15" t="s">
        <v>0</v>
      </c>
      <c r="D17" s="10"/>
      <c r="E17" s="10"/>
      <c r="F17" s="10"/>
      <c r="G17" s="10" t="s">
        <v>2</v>
      </c>
      <c r="H17" s="10" t="s">
        <v>2</v>
      </c>
      <c r="I17" s="10"/>
      <c r="J17" s="10"/>
      <c r="K17" s="10"/>
      <c r="L17" s="10"/>
      <c r="M17" s="10"/>
      <c r="N17" s="10" t="s">
        <v>2</v>
      </c>
      <c r="O17" s="10" t="s">
        <v>2</v>
      </c>
      <c r="P17" s="10"/>
      <c r="Q17" s="10"/>
      <c r="R17" s="10"/>
      <c r="S17" s="10"/>
      <c r="T17" s="10"/>
      <c r="U17" s="10" t="s">
        <v>2</v>
      </c>
      <c r="V17" s="10" t="s">
        <v>2</v>
      </c>
      <c r="W17" s="10"/>
      <c r="X17" s="10"/>
      <c r="Y17" s="10"/>
      <c r="Z17" s="10"/>
      <c r="AA17" s="10"/>
      <c r="AB17" s="10" t="s">
        <v>2</v>
      </c>
      <c r="AC17" s="10" t="s">
        <v>2</v>
      </c>
      <c r="AD17" s="10"/>
      <c r="AE17" s="10"/>
      <c r="AF17" s="31">
        <f>IF(_xlfn.DAYS(AI6,AA6)+1-28&gt;=28,28,IF(_xlfn.DAYS(AI6,AA6)+1-28&lt;0,0,_xlfn.DAYS(AI6,AA6)+1-28))</f>
        <v>28</v>
      </c>
      <c r="AG17" s="33"/>
      <c r="AH17" s="53">
        <f>AF17-COUNTIF(D17:AE17,"×")</f>
        <v>28</v>
      </c>
      <c r="AI17" s="54"/>
      <c r="AJ17" s="31">
        <f>COUNTIF(D17:AE17,"●")</f>
        <v>8</v>
      </c>
      <c r="AK17" s="32"/>
      <c r="AL17" s="32"/>
      <c r="AM17" s="33"/>
      <c r="AN17" s="34">
        <f>AJ17/AH17</f>
        <v>0.2857142857142857</v>
      </c>
      <c r="AO17" s="34"/>
    </row>
    <row r="18" spans="2:41" ht="24.75" thickBot="1" x14ac:dyDescent="0.45">
      <c r="B18" s="41"/>
      <c r="C18" s="12" t="s">
        <v>1</v>
      </c>
      <c r="D18" s="8"/>
      <c r="E18" s="8"/>
      <c r="F18" s="8"/>
      <c r="G18" s="8"/>
      <c r="H18" s="8"/>
      <c r="I18" s="8"/>
      <c r="J18" s="8"/>
      <c r="K18" s="8" t="s">
        <v>2</v>
      </c>
      <c r="L18" s="8" t="s">
        <v>2</v>
      </c>
      <c r="M18" s="8"/>
      <c r="N18" s="8"/>
      <c r="O18" s="8" t="s">
        <v>2</v>
      </c>
      <c r="P18" s="8" t="s">
        <v>2</v>
      </c>
      <c r="Q18" s="8"/>
      <c r="R18" s="8"/>
      <c r="S18" s="8"/>
      <c r="T18" s="8"/>
      <c r="U18" s="8" t="s">
        <v>2</v>
      </c>
      <c r="V18" s="8" t="s">
        <v>2</v>
      </c>
      <c r="W18" s="8"/>
      <c r="X18" s="8"/>
      <c r="Y18" s="8"/>
      <c r="Z18" s="8"/>
      <c r="AA18" s="8"/>
      <c r="AB18" s="8" t="s">
        <v>2</v>
      </c>
      <c r="AC18" s="8" t="s">
        <v>2</v>
      </c>
      <c r="AD18" s="8"/>
      <c r="AE18" s="8"/>
      <c r="AF18" s="35">
        <f>IF(_xlfn.DAYS(AI6,AA6)+1-28&gt;=28,28,IF(_xlfn.DAYS(AI6,AA6)+1-28&lt;0,0,_xlfn.DAYS(AI6,AA6)+1-28))</f>
        <v>28</v>
      </c>
      <c r="AG18" s="36"/>
      <c r="AH18" s="35">
        <f>AF18-COUNTIF(D18:AE18,"×")</f>
        <v>28</v>
      </c>
      <c r="AI18" s="36"/>
      <c r="AJ18" s="35">
        <f>COUNTIF(D18:AE18,"●")</f>
        <v>8</v>
      </c>
      <c r="AK18" s="37"/>
      <c r="AL18" s="37"/>
      <c r="AM18" s="36"/>
      <c r="AN18" s="38">
        <f>AJ18/AH18</f>
        <v>0.2857142857142857</v>
      </c>
      <c r="AO18" s="38"/>
    </row>
    <row r="19" spans="2:41" ht="24" x14ac:dyDescent="0.4">
      <c r="B19" s="39" t="s">
        <v>21</v>
      </c>
      <c r="C19" s="9" t="s">
        <v>15</v>
      </c>
      <c r="D19" s="20">
        <f>IF($AF$22-1&lt;0,,MONTH($AA$6+56))</f>
        <v>8</v>
      </c>
      <c r="E19" s="20">
        <f>IF($AF$22-2&lt;0,,MONTH($AA$6+57))</f>
        <v>8</v>
      </c>
      <c r="F19" s="20">
        <f>IF($AF$22-3&lt;0,,MONTH($AA$6+58))</f>
        <v>8</v>
      </c>
      <c r="G19" s="20">
        <f>IF($AF$22-4&lt;0,,MONTH($AA$6+59))</f>
        <v>8</v>
      </c>
      <c r="H19" s="20">
        <f>IF($AF$22-5&lt;0,,MONTH($AA$6+60))</f>
        <v>8</v>
      </c>
      <c r="I19" s="20">
        <f>IF($AF$22-6&lt;0,,MONTH($AA$6+61))</f>
        <v>8</v>
      </c>
      <c r="J19" s="20">
        <f>IF($AF$22-7&lt;0,,MONTH($AA$6+62))</f>
        <v>8</v>
      </c>
      <c r="K19" s="20">
        <f>IF($AF$22-8&lt;0,,MONTH($AA$6+63))</f>
        <v>8</v>
      </c>
      <c r="L19" s="20">
        <f>IF($AF$22-9&lt;0,,MONTH($AA$6+64))</f>
        <v>8</v>
      </c>
      <c r="M19" s="20">
        <f>IF($AF$22-10&lt;0,,MONTH($AA$6+65))</f>
        <v>8</v>
      </c>
      <c r="N19" s="20">
        <f>IF($AF$22-11&lt;0,,MONTH($AA$6+66))</f>
        <v>8</v>
      </c>
      <c r="O19" s="20">
        <f>IF($AF$22-12&lt;0,,MONTH($AA$6+67))</f>
        <v>8</v>
      </c>
      <c r="P19" s="20">
        <f>IF($AF$22-13&lt;0,,MONTH($AA$6+68))</f>
        <v>8</v>
      </c>
      <c r="Q19" s="20">
        <f>IF($AF$22-14&lt;0,,MONTH($AA$6+69))</f>
        <v>8</v>
      </c>
      <c r="R19" s="20">
        <f>IF($AF$22-15&lt;0,,MONTH($AA$6+70))</f>
        <v>8</v>
      </c>
      <c r="S19" s="20">
        <f>IF($AF$22-16&lt;0,,MONTH($AA$6+71))</f>
        <v>8</v>
      </c>
      <c r="T19" s="20">
        <f>IF($AF$22-17&lt;0,,MONTH($AA$6+72))</f>
        <v>8</v>
      </c>
      <c r="U19" s="20">
        <f>IF($AF$22-18&lt;0,,MONTH($AA$6+73))</f>
        <v>8</v>
      </c>
      <c r="V19" s="20">
        <f>IF($AF$22-19&lt;0,,MONTH($AA$6+74))</f>
        <v>8</v>
      </c>
      <c r="W19" s="20">
        <f>IF($AF$22-20&lt;0,,MONTH($AA$6+75))</f>
        <v>8</v>
      </c>
      <c r="X19" s="20">
        <f>IF($AF$22-21&lt;0,,MONTH($AA$6+76))</f>
        <v>8</v>
      </c>
      <c r="Y19" s="20">
        <f>IF($AF$22-22&lt;0,,MONTH($AA$6+77))</f>
        <v>8</v>
      </c>
      <c r="Z19" s="20">
        <f>IF($AF$22-23&lt;0,,MONTH($AA$6+78))</f>
        <v>8</v>
      </c>
      <c r="AA19" s="20">
        <f>IF($AF$22-24&lt;0,,MONTH($AA$6+79))</f>
        <v>8</v>
      </c>
      <c r="AB19" s="20">
        <f>IF($AF$22-25&lt;0,,MONTH($AA$6+80))</f>
        <v>8</v>
      </c>
      <c r="AC19" s="20">
        <f>IF($AF$22-26&lt;0,,MONTH($AA$6+81))</f>
        <v>8</v>
      </c>
      <c r="AD19" s="20">
        <f>IF($AF$22-27&lt;0,,MONTH($AA$6+82))</f>
        <v>8</v>
      </c>
      <c r="AE19" s="20">
        <f>IF($AF$22-28&lt;0,,MONTH($AA$6+83))</f>
        <v>9</v>
      </c>
      <c r="AF19" s="55" t="s">
        <v>39</v>
      </c>
      <c r="AG19" s="56"/>
      <c r="AH19" s="56"/>
      <c r="AI19" s="56"/>
      <c r="AJ19" s="56"/>
      <c r="AK19" s="56"/>
      <c r="AL19" s="56"/>
      <c r="AM19" s="57"/>
      <c r="AN19" s="45" t="s">
        <v>5</v>
      </c>
      <c r="AO19" s="45"/>
    </row>
    <row r="20" spans="2:41" ht="24" x14ac:dyDescent="0.4">
      <c r="B20" s="40"/>
      <c r="C20" s="18" t="s">
        <v>11</v>
      </c>
      <c r="D20" s="20">
        <f>IF($AF$22-1&lt;0,,DAY($AA$6+56))</f>
        <v>5</v>
      </c>
      <c r="E20" s="20">
        <f>IF($AF$22-2&lt;0,,DAY($AA$6+57))</f>
        <v>6</v>
      </c>
      <c r="F20" s="20">
        <f>IF($AF$22-3&lt;0,,DAY($AA$6+58))</f>
        <v>7</v>
      </c>
      <c r="G20" s="20">
        <f>IF($AF$22-4&lt;0,,DAY($AA$6+59))</f>
        <v>8</v>
      </c>
      <c r="H20" s="20">
        <f>IF($AF$22-5&lt;0,,DAY($AA$6+60))</f>
        <v>9</v>
      </c>
      <c r="I20" s="20">
        <f>IF($AF$22-6&lt;0,,DAY($AA$6+61))</f>
        <v>10</v>
      </c>
      <c r="J20" s="20">
        <f>IF($AF$22-7&lt;0,,DAY($AA$6+62))</f>
        <v>11</v>
      </c>
      <c r="K20" s="20">
        <f>IF($AF$22-8&lt;0,,DAY($AA$6+63))</f>
        <v>12</v>
      </c>
      <c r="L20" s="20">
        <f>IF($AF$22-9&lt;0,,DAY($AA$6+64))</f>
        <v>13</v>
      </c>
      <c r="M20" s="20">
        <f>IF($AF$22-10&lt;0,,DAY($AA$6+65))</f>
        <v>14</v>
      </c>
      <c r="N20" s="20">
        <f>IF($AF$22-11&lt;0,,DAY($AA$6+66))</f>
        <v>15</v>
      </c>
      <c r="O20" s="20">
        <f>IF($AF$22-12&lt;0,,DAY($AA$6+67))</f>
        <v>16</v>
      </c>
      <c r="P20" s="20">
        <f>IF($AF$22-13&lt;0,,DAY($AA$6+68))</f>
        <v>17</v>
      </c>
      <c r="Q20" s="20">
        <f>IF($AF$22-14&lt;0,,DAY($AA$6+69))</f>
        <v>18</v>
      </c>
      <c r="R20" s="20">
        <f>IF($AF$22-15&lt;0,,DAY($AA$6+70))</f>
        <v>19</v>
      </c>
      <c r="S20" s="20">
        <f>IF($AF$22-16&lt;0,,DAY($AA$6+71))</f>
        <v>20</v>
      </c>
      <c r="T20" s="20">
        <f>IF($AF$22-17&lt;0,,DAY($AA$6+72))</f>
        <v>21</v>
      </c>
      <c r="U20" s="20">
        <f>IF($AF$22-18&lt;0,,DAY($AA$6+73))</f>
        <v>22</v>
      </c>
      <c r="V20" s="20">
        <f>IF($AF$22-19&lt;0,,DAY($AA$6+74))</f>
        <v>23</v>
      </c>
      <c r="W20" s="20">
        <f>IF($AF$22-20&lt;0,,DAY($AA$6+75))</f>
        <v>24</v>
      </c>
      <c r="X20" s="20">
        <f>IF($AF$22-21&lt;0,,DAY($AA$6+76))</f>
        <v>25</v>
      </c>
      <c r="Y20" s="20">
        <f>IF($AF$22-22&lt;0,,DAY($AA$6+77))</f>
        <v>26</v>
      </c>
      <c r="Z20" s="20">
        <f>IF($AF$22-23&lt;0,,DAY($AA$6+78))</f>
        <v>27</v>
      </c>
      <c r="AA20" s="20">
        <f>IF($AF$22-24&lt;0,,DAY($AA$6+79))</f>
        <v>28</v>
      </c>
      <c r="AB20" s="20">
        <f>IF($AF$22-25&lt;0,,DAY($AA$6+80))</f>
        <v>29</v>
      </c>
      <c r="AC20" s="20">
        <f>IF($AF$22-26&lt;0,,DAY($AA$6+81))</f>
        <v>30</v>
      </c>
      <c r="AD20" s="20">
        <f>IF($AF$22-27&lt;0,,DAY($AA$6+82))</f>
        <v>31</v>
      </c>
      <c r="AE20" s="20">
        <f>IF($AF$22-28&lt;0,,DAY($AA$6+83))</f>
        <v>1</v>
      </c>
      <c r="AF20" s="26"/>
      <c r="AG20" s="27"/>
      <c r="AH20" s="47" t="s">
        <v>14</v>
      </c>
      <c r="AI20" s="48"/>
      <c r="AJ20" s="48"/>
      <c r="AK20" s="48"/>
      <c r="AL20" s="48"/>
      <c r="AM20" s="49"/>
      <c r="AN20" s="46"/>
      <c r="AO20" s="46"/>
    </row>
    <row r="21" spans="2:41" ht="24" x14ac:dyDescent="0.4">
      <c r="B21" s="40"/>
      <c r="C21" s="18" t="s">
        <v>16</v>
      </c>
      <c r="D21" s="18" t="str" cm="1">
        <f t="array" ref="D21">IF(D20&gt;0,_xlfn.SWITCH(AE16,"月","火","火","水","水","木","木","金","金","土","土","日","日","月"),"")</f>
        <v>水</v>
      </c>
      <c r="E21" s="18" t="str" cm="1">
        <f t="array" ref="E21">IF(E20&gt;0,_xlfn.SWITCH(D21,"月","火","火","水","水","木","木","金","金","土","土","日","日","月"),"")</f>
        <v>木</v>
      </c>
      <c r="F21" s="18" t="str" cm="1">
        <f t="array" ref="F21">IF(F20&gt;0,_xlfn.SWITCH(E21,"月","火","火","水","水","木","木","金","金","土","土","日","日","月"),"")</f>
        <v>金</v>
      </c>
      <c r="G21" s="18" t="str" cm="1">
        <f t="array" ref="G21">IF(G20&gt;0,_xlfn.SWITCH(F21,"月","火","火","水","水","木","木","金","金","土","土","日","日","月"),"")</f>
        <v>土</v>
      </c>
      <c r="H21" s="18" t="str" cm="1">
        <f t="array" ref="H21">IF(H20&gt;0,_xlfn.SWITCH(G21,"月","火","火","水","水","木","木","金","金","土","土","日","日","月"),"")</f>
        <v>日</v>
      </c>
      <c r="I21" s="18" t="str" cm="1">
        <f t="array" ref="I21">IF(I20&gt;0,_xlfn.SWITCH(H21,"月","火","火","水","水","木","木","金","金","土","土","日","日","月"),"")</f>
        <v>月</v>
      </c>
      <c r="J21" s="18" t="str" cm="1">
        <f t="array" ref="J21">IF(J20&gt;0,_xlfn.SWITCH(I21,"月","火","火","水","水","木","木","金","金","土","土","日","日","月"),"")</f>
        <v>火</v>
      </c>
      <c r="K21" s="18" t="str" cm="1">
        <f t="array" ref="K21">IF(K20&gt;0,_xlfn.SWITCH(J21,"月","火","火","水","水","木","木","金","金","土","土","日","日","月"),"")</f>
        <v>水</v>
      </c>
      <c r="L21" s="18" t="str" cm="1">
        <f t="array" ref="L21">IF(L20&gt;0,_xlfn.SWITCH(K21,"月","火","火","水","水","木","木","金","金","土","土","日","日","月"),"")</f>
        <v>木</v>
      </c>
      <c r="M21" s="18" t="str" cm="1">
        <f t="array" ref="M21">IF(M20&gt;0,_xlfn.SWITCH(L21,"月","火","火","水","水","木","木","金","金","土","土","日","日","月"),"")</f>
        <v>金</v>
      </c>
      <c r="N21" s="18" t="str" cm="1">
        <f t="array" ref="N21">IF(N20&gt;0,_xlfn.SWITCH(M21,"月","火","火","水","水","木","木","金","金","土","土","日","日","月"),"")</f>
        <v>土</v>
      </c>
      <c r="O21" s="18" t="str" cm="1">
        <f t="array" ref="O21">IF(O20&gt;0,_xlfn.SWITCH(N21,"月","火","火","水","水","木","木","金","金","土","土","日","日","月"),"")</f>
        <v>日</v>
      </c>
      <c r="P21" s="18" t="str" cm="1">
        <f t="array" ref="P21">IF(P20&gt;0,_xlfn.SWITCH(O21,"月","火","火","水","水","木","木","金","金","土","土","日","日","月"),"")</f>
        <v>月</v>
      </c>
      <c r="Q21" s="18" t="str" cm="1">
        <f t="array" ref="Q21">IF(Q20&gt;0,_xlfn.SWITCH(P21,"月","火","火","水","水","木","木","金","金","土","土","日","日","月"),"")</f>
        <v>火</v>
      </c>
      <c r="R21" s="18" t="str" cm="1">
        <f t="array" ref="R21">IF(R20&gt;0,_xlfn.SWITCH(Q21,"月","火","火","水","水","木","木","金","金","土","土","日","日","月"),"")</f>
        <v>水</v>
      </c>
      <c r="S21" s="18" t="str" cm="1">
        <f t="array" ref="S21">IF(S20&gt;0,_xlfn.SWITCH(R21,"月","火","火","水","水","木","木","金","金","土","土","日","日","月"),"")</f>
        <v>木</v>
      </c>
      <c r="T21" s="18" t="str" cm="1">
        <f t="array" ref="T21">IF(T20&gt;0,_xlfn.SWITCH(S21,"月","火","火","水","水","木","木","金","金","土","土","日","日","月"),"")</f>
        <v>金</v>
      </c>
      <c r="U21" s="18" t="str" cm="1">
        <f t="array" ref="U21">IF(U20&gt;0,_xlfn.SWITCH(T21,"月","火","火","水","水","木","木","金","金","土","土","日","日","月"),"")</f>
        <v>土</v>
      </c>
      <c r="V21" s="18" t="str" cm="1">
        <f t="array" ref="V21">IF(V20&gt;0,_xlfn.SWITCH(U21,"月","火","火","水","水","木","木","金","金","土","土","日","日","月"),"")</f>
        <v>日</v>
      </c>
      <c r="W21" s="18" t="str" cm="1">
        <f t="array" ref="W21">IF(W20&gt;0,_xlfn.SWITCH(V21,"月","火","火","水","水","木","木","金","金","土","土","日","日","月"),"")</f>
        <v>月</v>
      </c>
      <c r="X21" s="18" t="str" cm="1">
        <f t="array" ref="X21">IF(X20&gt;0,_xlfn.SWITCH(W21,"月","火","火","水","水","木","木","金","金","土","土","日","日","月"),"")</f>
        <v>火</v>
      </c>
      <c r="Y21" s="18" t="str" cm="1">
        <f t="array" ref="Y21">IF(Y20&gt;0,_xlfn.SWITCH(X21,"月","火","火","水","水","木","木","金","金","土","土","日","日","月"),"")</f>
        <v>水</v>
      </c>
      <c r="Z21" s="18" t="str" cm="1">
        <f t="array" ref="Z21">IF(Z20&gt;0,_xlfn.SWITCH(Y21,"月","火","火","水","水","木","木","金","金","土","土","日","日","月"),"")</f>
        <v>木</v>
      </c>
      <c r="AA21" s="18" t="str" cm="1">
        <f t="array" ref="AA21">IF(AA20&gt;0,_xlfn.SWITCH(Z21,"月","火","火","水","水","木","木","金","金","土","土","日","日","月"),"")</f>
        <v>金</v>
      </c>
      <c r="AB21" s="18" t="str" cm="1">
        <f t="array" ref="AB21">IF(AB20&gt;0,_xlfn.SWITCH(AA21,"月","火","火","水","水","木","木","金","金","土","土","日","日","月"),"")</f>
        <v>土</v>
      </c>
      <c r="AC21" s="18" t="str" cm="1">
        <f t="array" ref="AC21">IF(AC20&gt;0,_xlfn.SWITCH(AB21,"月","火","火","水","水","木","木","金","金","土","土","日","日","月"),"")</f>
        <v>日</v>
      </c>
      <c r="AD21" s="18" t="str" cm="1">
        <f t="array" ref="AD21">IF(AD20&gt;0,_xlfn.SWITCH(AC21,"月","火","火","水","水","木","木","金","金","土","土","日","日","月"),"")</f>
        <v>月</v>
      </c>
      <c r="AE21" s="18" t="str" cm="1">
        <f t="array" ref="AE21">IF(AE20&gt;0,_xlfn.SWITCH(AD21,"月","火","火","水","水","木","木","金","金","土","土","日","日","月"),"")</f>
        <v>火</v>
      </c>
      <c r="AF21" s="28"/>
      <c r="AG21" s="7"/>
      <c r="AH21" s="11"/>
      <c r="AI21" s="7"/>
      <c r="AJ21" s="50" t="s">
        <v>12</v>
      </c>
      <c r="AK21" s="51"/>
      <c r="AL21" s="51"/>
      <c r="AM21" s="52"/>
      <c r="AN21" s="46"/>
      <c r="AO21" s="46"/>
    </row>
    <row r="22" spans="2:41" ht="24" x14ac:dyDescent="0.4">
      <c r="B22" s="40"/>
      <c r="C22" s="15" t="s">
        <v>0</v>
      </c>
      <c r="D22" s="10"/>
      <c r="E22" s="10"/>
      <c r="F22" s="10"/>
      <c r="G22" s="10" t="s">
        <v>2</v>
      </c>
      <c r="H22" s="10" t="s">
        <v>2</v>
      </c>
      <c r="I22" s="10"/>
      <c r="J22" s="10"/>
      <c r="K22" s="10"/>
      <c r="L22" s="10"/>
      <c r="M22" s="10" t="s">
        <v>3</v>
      </c>
      <c r="N22" s="10" t="s">
        <v>3</v>
      </c>
      <c r="O22" s="10" t="s">
        <v>3</v>
      </c>
      <c r="P22" s="10"/>
      <c r="Q22" s="10"/>
      <c r="R22" s="10"/>
      <c r="S22" s="10"/>
      <c r="T22" s="10"/>
      <c r="U22" s="10" t="s">
        <v>2</v>
      </c>
      <c r="V22" s="10" t="s">
        <v>2</v>
      </c>
      <c r="W22" s="10"/>
      <c r="X22" s="10"/>
      <c r="Y22" s="10"/>
      <c r="Z22" s="10"/>
      <c r="AA22" s="10"/>
      <c r="AB22" s="10" t="s">
        <v>2</v>
      </c>
      <c r="AC22" s="10" t="s">
        <v>2</v>
      </c>
      <c r="AD22" s="10"/>
      <c r="AE22" s="10"/>
      <c r="AF22" s="31">
        <f>IF(_xlfn.DAYS(AI6,AA6)+1-56&gt;=28,28,IF(_xlfn.DAYS(AI6,AA6)+1-56&lt;0,0,_xlfn.DAYS(AI6,AA6)+1-56))</f>
        <v>28</v>
      </c>
      <c r="AG22" s="33"/>
      <c r="AH22" s="53">
        <f>AF22-COUNTIF(D22:AE22,"×")</f>
        <v>25</v>
      </c>
      <c r="AI22" s="54"/>
      <c r="AJ22" s="31">
        <f>COUNTIF(D22:AE22,"●")</f>
        <v>6</v>
      </c>
      <c r="AK22" s="32"/>
      <c r="AL22" s="32"/>
      <c r="AM22" s="33"/>
      <c r="AN22" s="34">
        <f>AJ22/AH22</f>
        <v>0.24</v>
      </c>
      <c r="AO22" s="34"/>
    </row>
    <row r="23" spans="2:41" ht="24.75" thickBot="1" x14ac:dyDescent="0.45">
      <c r="B23" s="41"/>
      <c r="C23" s="12" t="s">
        <v>1</v>
      </c>
      <c r="D23" s="8"/>
      <c r="E23" s="8"/>
      <c r="F23" s="8"/>
      <c r="G23" s="8"/>
      <c r="H23" s="8"/>
      <c r="I23" s="8"/>
      <c r="J23" s="8"/>
      <c r="K23" s="8" t="s">
        <v>2</v>
      </c>
      <c r="L23" s="8" t="s">
        <v>2</v>
      </c>
      <c r="M23" s="8" t="s">
        <v>3</v>
      </c>
      <c r="N23" s="8" t="s">
        <v>3</v>
      </c>
      <c r="O23" s="8" t="s">
        <v>3</v>
      </c>
      <c r="P23" s="8"/>
      <c r="Q23" s="8"/>
      <c r="R23" s="8"/>
      <c r="S23" s="8"/>
      <c r="T23" s="8"/>
      <c r="U23" s="8" t="s">
        <v>2</v>
      </c>
      <c r="V23" s="8" t="s">
        <v>2</v>
      </c>
      <c r="W23" s="8"/>
      <c r="X23" s="8"/>
      <c r="Y23" s="8"/>
      <c r="Z23" s="8"/>
      <c r="AA23" s="8"/>
      <c r="AB23" s="8" t="s">
        <v>2</v>
      </c>
      <c r="AC23" s="8" t="s">
        <v>2</v>
      </c>
      <c r="AD23" s="8"/>
      <c r="AE23" s="8"/>
      <c r="AF23" s="35">
        <f>IF(_xlfn.DAYS(AI6,AA6)+1-56&gt;=28,28,IF(_xlfn.DAYS(AI6,AA6)+1-56&lt;0,0,_xlfn.DAYS(AI6,AA6)+1-56))</f>
        <v>28</v>
      </c>
      <c r="AG23" s="36"/>
      <c r="AH23" s="35">
        <f>AF23-COUNTIF(D23:AE23,"×")</f>
        <v>25</v>
      </c>
      <c r="AI23" s="36"/>
      <c r="AJ23" s="35">
        <f>COUNTIF(D23:AE23,"●")</f>
        <v>6</v>
      </c>
      <c r="AK23" s="37"/>
      <c r="AL23" s="37"/>
      <c r="AM23" s="36"/>
      <c r="AN23" s="38">
        <f>AJ23/AH23</f>
        <v>0.24</v>
      </c>
      <c r="AO23" s="38"/>
    </row>
    <row r="24" spans="2:41" ht="24" x14ac:dyDescent="0.4">
      <c r="B24" s="39" t="s">
        <v>22</v>
      </c>
      <c r="C24" s="9" t="s">
        <v>15</v>
      </c>
      <c r="D24" s="20">
        <f>IF($AF$27-1&lt;0,,MONTH($AA$6+84))</f>
        <v>9</v>
      </c>
      <c r="E24" s="20">
        <f>IF($AF$27-2&lt;0,,MONTH($AA$6+85))</f>
        <v>9</v>
      </c>
      <c r="F24" s="20">
        <f>IF($AF$27-3&lt;0,,MONTH($AA$6+86))</f>
        <v>9</v>
      </c>
      <c r="G24" s="20">
        <f>IF($AF$27-4&lt;0,,MONTH($AA$6+87))</f>
        <v>9</v>
      </c>
      <c r="H24" s="20">
        <f>IF($AF$27-5&lt;0,,MONTH($AA$6+88))</f>
        <v>9</v>
      </c>
      <c r="I24" s="20">
        <f>IF($AF$27-6&lt;0,,MONTH($AA$6+89))</f>
        <v>9</v>
      </c>
      <c r="J24" s="20">
        <f>IF($AF$27-7&lt;0,,MONTH($AA$6+90))</f>
        <v>9</v>
      </c>
      <c r="K24" s="20">
        <f>IF($AF$27-8&lt;0,,MONTH($AA$6+91))</f>
        <v>9</v>
      </c>
      <c r="L24" s="20">
        <f>IF($AF$27-9&lt;0,,MONTH($AA$6+92))</f>
        <v>9</v>
      </c>
      <c r="M24" s="20">
        <f>IF($AF$27-10&lt;0,,MONTH($AA$6+93))</f>
        <v>9</v>
      </c>
      <c r="N24" s="20">
        <f>IF($AF$27-11&lt;0,,MONTH($AA$6+94))</f>
        <v>9</v>
      </c>
      <c r="O24" s="20">
        <f>IF($AF$27-12&lt;0,,MONTH($AA$6+95))</f>
        <v>9</v>
      </c>
      <c r="P24" s="20">
        <f>IF($AF$27-13&lt;0,,MONTH($AA$6+96))</f>
        <v>9</v>
      </c>
      <c r="Q24" s="20">
        <f>IF($AF$27-14&lt;0,,MONTH($AA$6+97))</f>
        <v>9</v>
      </c>
      <c r="R24" s="20">
        <f>IF($AF$27-15&lt;0,,MONTH($AA$6+98))</f>
        <v>9</v>
      </c>
      <c r="S24" s="20">
        <f>IF($AF$27-16&lt;0,,MONTH($AA$6+99))</f>
        <v>9</v>
      </c>
      <c r="T24" s="20">
        <f>IF($AF$27-17&lt;0,,MONTH($AA$6+100))</f>
        <v>9</v>
      </c>
      <c r="U24" s="20">
        <f>IF($AF$27-18&lt;0,,MONTH($AA$6+101))</f>
        <v>9</v>
      </c>
      <c r="V24" s="20">
        <f>IF($AF$27-19&lt;0,,MONTH($AA$6+102))</f>
        <v>9</v>
      </c>
      <c r="W24" s="20">
        <f>IF($AF$27-20&lt;0,,MONTH($AA$6+103))</f>
        <v>9</v>
      </c>
      <c r="X24" s="20">
        <f>IF($AF$27-21&lt;0,,MONTH($AA$6+104))</f>
        <v>9</v>
      </c>
      <c r="Y24" s="20">
        <f>IF($AF$27-22&lt;0,,MONTH($AA$6+105))</f>
        <v>9</v>
      </c>
      <c r="Z24" s="20">
        <f>IF($AF$27-23&lt;0,,MONTH($AA$6+106))</f>
        <v>9</v>
      </c>
      <c r="AA24" s="20">
        <f>IF($AF$27-24&lt;0,,MONTH($AA$6+107))</f>
        <v>9</v>
      </c>
      <c r="AB24" s="20">
        <f>IF($AF$27-25&lt;0,,MONTH($AA$6+108))</f>
        <v>9</v>
      </c>
      <c r="AC24" s="20">
        <f>IF($AF$27-26&lt;0,,MONTH($AA$6+109))</f>
        <v>9</v>
      </c>
      <c r="AD24" s="20">
        <f>IF($AF$27-27&lt;0,,MONTH($AA$6+110))</f>
        <v>9</v>
      </c>
      <c r="AE24" s="20">
        <f>IF($AF$27-28&lt;0,,MONTH($AA$6+111))</f>
        <v>9</v>
      </c>
      <c r="AF24" s="55" t="s">
        <v>39</v>
      </c>
      <c r="AG24" s="56"/>
      <c r="AH24" s="56"/>
      <c r="AI24" s="56"/>
      <c r="AJ24" s="56"/>
      <c r="AK24" s="56"/>
      <c r="AL24" s="56"/>
      <c r="AM24" s="57"/>
      <c r="AN24" s="45" t="s">
        <v>5</v>
      </c>
      <c r="AO24" s="45"/>
    </row>
    <row r="25" spans="2:41" ht="24" x14ac:dyDescent="0.4">
      <c r="B25" s="40"/>
      <c r="C25" s="18" t="s">
        <v>11</v>
      </c>
      <c r="D25" s="20">
        <f>IF($AF$27-1&lt;0,,DAY($AA$6+84))</f>
        <v>2</v>
      </c>
      <c r="E25" s="20">
        <f>IF($AF$27-2&lt;0,,DAY($AA$6+85))</f>
        <v>3</v>
      </c>
      <c r="F25" s="20">
        <f>IF($AF$27-3&lt;0,,DAY($AA$6+86))</f>
        <v>4</v>
      </c>
      <c r="G25" s="20">
        <f>IF($AF$27-4&lt;0,,DAY($AA$6+87))</f>
        <v>5</v>
      </c>
      <c r="H25" s="20">
        <f>IF($AF$27-5&lt;0,,DAY($AA$6+88))</f>
        <v>6</v>
      </c>
      <c r="I25" s="20">
        <f>IF($AF$27-6&lt;0,,DAY($AA$6+89))</f>
        <v>7</v>
      </c>
      <c r="J25" s="20">
        <f>IF($AF$27-7&lt;0,,DAY($AA$6+90))</f>
        <v>8</v>
      </c>
      <c r="K25" s="20">
        <f>IF($AF$27-8&lt;0,,DAY($AA$6+91))</f>
        <v>9</v>
      </c>
      <c r="L25" s="20">
        <f>IF($AF$27-9&lt;0,,DAY($AA$6+92))</f>
        <v>10</v>
      </c>
      <c r="M25" s="20">
        <f>IF($AF$27-10&lt;0,,DAY($AA$6+93))</f>
        <v>11</v>
      </c>
      <c r="N25" s="20">
        <f>IF($AF$27-11&lt;0,,DAY($AA$6+94))</f>
        <v>12</v>
      </c>
      <c r="O25" s="20">
        <f>IF($AF$27-12&lt;0,,DAY($AA$6+95))</f>
        <v>13</v>
      </c>
      <c r="P25" s="20">
        <f>IF($AF$27-13&lt;0,,DAY($AA$6+96))</f>
        <v>14</v>
      </c>
      <c r="Q25" s="20">
        <f>IF($AF$27-14&lt;0,,DAY($AA$6+97))</f>
        <v>15</v>
      </c>
      <c r="R25" s="20">
        <f>IF($AF$27-15&lt;0,,DAY($AA$6+98))</f>
        <v>16</v>
      </c>
      <c r="S25" s="20">
        <f>IF($AF$27-16&lt;0,,DAY($AA$6+99))</f>
        <v>17</v>
      </c>
      <c r="T25" s="20">
        <f>IF($AF$27-17&lt;0,,DAY($AA$6+100))</f>
        <v>18</v>
      </c>
      <c r="U25" s="20">
        <f>IF($AF$27-18&lt;0,,DAY($AA$6+101))</f>
        <v>19</v>
      </c>
      <c r="V25" s="20">
        <f>IF($AF$27-19&lt;0,,DAY($AA$6+102))</f>
        <v>20</v>
      </c>
      <c r="W25" s="20">
        <f>IF($AF$27-20&lt;0,,DAY($AA$6+103))</f>
        <v>21</v>
      </c>
      <c r="X25" s="20">
        <f>IF($AF$27-21&lt;0,,DAY($AA$6+104))</f>
        <v>22</v>
      </c>
      <c r="Y25" s="20">
        <f>IF($AF$27-22&lt;0,,DAY($AA$6+105))</f>
        <v>23</v>
      </c>
      <c r="Z25" s="20">
        <f>IF($AF$27-23&lt;0,,DAY($AA$6+106))</f>
        <v>24</v>
      </c>
      <c r="AA25" s="20">
        <f>IF($AF$27-24&lt;0,,DAY($AA$6+107))</f>
        <v>25</v>
      </c>
      <c r="AB25" s="20">
        <f>IF($AF$27-25&lt;0,,DAY($AA$6+108))</f>
        <v>26</v>
      </c>
      <c r="AC25" s="20">
        <f>IF($AF$27-26&lt;0,,DAY($AA$6+109))</f>
        <v>27</v>
      </c>
      <c r="AD25" s="20">
        <f>IF($AF$27-27&lt;0,,DAY($AA$6+110))</f>
        <v>28</v>
      </c>
      <c r="AE25" s="20">
        <f>IF($AF$27-28&lt;0,,DAY($AA$6+111))</f>
        <v>29</v>
      </c>
      <c r="AF25" s="26"/>
      <c r="AG25" s="27"/>
      <c r="AH25" s="47" t="s">
        <v>14</v>
      </c>
      <c r="AI25" s="48"/>
      <c r="AJ25" s="48"/>
      <c r="AK25" s="48"/>
      <c r="AL25" s="48"/>
      <c r="AM25" s="49"/>
      <c r="AN25" s="46"/>
      <c r="AO25" s="46"/>
    </row>
    <row r="26" spans="2:41" ht="24" x14ac:dyDescent="0.4">
      <c r="B26" s="40"/>
      <c r="C26" s="18" t="s">
        <v>16</v>
      </c>
      <c r="D26" s="18" t="str" cm="1">
        <f t="array" ref="D26">IF(D25&gt;0,_xlfn.SWITCH(AE21,"月","火","火","水","水","木","木","金","金","土","土","日","日","月"),"")</f>
        <v>水</v>
      </c>
      <c r="E26" s="18" t="str" cm="1">
        <f t="array" ref="E26">IF(E25&gt;0,_xlfn.SWITCH(D26,"月","火","火","水","水","木","木","金","金","土","土","日","日","月"),"")</f>
        <v>木</v>
      </c>
      <c r="F26" s="18" t="str" cm="1">
        <f t="array" ref="F26">IF(F25&gt;0,_xlfn.SWITCH(E26,"月","火","火","水","水","木","木","金","金","土","土","日","日","月"),"")</f>
        <v>金</v>
      </c>
      <c r="G26" s="18" t="str" cm="1">
        <f t="array" ref="G26">IF(G25&gt;0,_xlfn.SWITCH(F26,"月","火","火","水","水","木","木","金","金","土","土","日","日","月"),"")</f>
        <v>土</v>
      </c>
      <c r="H26" s="18" t="str" cm="1">
        <f t="array" ref="H26">IF(H25&gt;0,_xlfn.SWITCH(G26,"月","火","火","水","水","木","木","金","金","土","土","日","日","月"),"")</f>
        <v>日</v>
      </c>
      <c r="I26" s="18" t="str" cm="1">
        <f t="array" ref="I26">IF(I25&gt;0,_xlfn.SWITCH(H26,"月","火","火","水","水","木","木","金","金","土","土","日","日","月"),"")</f>
        <v>月</v>
      </c>
      <c r="J26" s="18" t="str" cm="1">
        <f t="array" ref="J26">IF(J25&gt;0,_xlfn.SWITCH(I26,"月","火","火","水","水","木","木","金","金","土","土","日","日","月"),"")</f>
        <v>火</v>
      </c>
      <c r="K26" s="18" t="str" cm="1">
        <f t="array" ref="K26">IF(K25&gt;0,_xlfn.SWITCH(J26,"月","火","火","水","水","木","木","金","金","土","土","日","日","月"),"")</f>
        <v>水</v>
      </c>
      <c r="L26" s="18" t="str" cm="1">
        <f t="array" ref="L26">IF(L25&gt;0,_xlfn.SWITCH(K26,"月","火","火","水","水","木","木","金","金","土","土","日","日","月"),"")</f>
        <v>木</v>
      </c>
      <c r="M26" s="18" t="str" cm="1">
        <f t="array" ref="M26">IF(M25&gt;0,_xlfn.SWITCH(L26,"月","火","火","水","水","木","木","金","金","土","土","日","日","月"),"")</f>
        <v>金</v>
      </c>
      <c r="N26" s="18" t="str" cm="1">
        <f t="array" ref="N26">IF(N25&gt;0,_xlfn.SWITCH(M26,"月","火","火","水","水","木","木","金","金","土","土","日","日","月"),"")</f>
        <v>土</v>
      </c>
      <c r="O26" s="18" t="str" cm="1">
        <f t="array" ref="O26">IF(O25&gt;0,_xlfn.SWITCH(N26,"月","火","火","水","水","木","木","金","金","土","土","日","日","月"),"")</f>
        <v>日</v>
      </c>
      <c r="P26" s="18" t="str" cm="1">
        <f t="array" ref="P26">IF(P25&gt;0,_xlfn.SWITCH(O26,"月","火","火","水","水","木","木","金","金","土","土","日","日","月"),"")</f>
        <v>月</v>
      </c>
      <c r="Q26" s="18" t="str" cm="1">
        <f t="array" ref="Q26">IF(Q25&gt;0,_xlfn.SWITCH(P26,"月","火","火","水","水","木","木","金","金","土","土","日","日","月"),"")</f>
        <v>火</v>
      </c>
      <c r="R26" s="18" t="str" cm="1">
        <f t="array" ref="R26">IF(R25&gt;0,_xlfn.SWITCH(Q26,"月","火","火","水","水","木","木","金","金","土","土","日","日","月"),"")</f>
        <v>水</v>
      </c>
      <c r="S26" s="18" t="str" cm="1">
        <f t="array" ref="S26">IF(S25&gt;0,_xlfn.SWITCH(R26,"月","火","火","水","水","木","木","金","金","土","土","日","日","月"),"")</f>
        <v>木</v>
      </c>
      <c r="T26" s="18" t="str" cm="1">
        <f t="array" ref="T26">IF(T25&gt;0,_xlfn.SWITCH(S26,"月","火","火","水","水","木","木","金","金","土","土","日","日","月"),"")</f>
        <v>金</v>
      </c>
      <c r="U26" s="18" t="str" cm="1">
        <f t="array" ref="U26">IF(U25&gt;0,_xlfn.SWITCH(T26,"月","火","火","水","水","木","木","金","金","土","土","日","日","月"),"")</f>
        <v>土</v>
      </c>
      <c r="V26" s="18" t="str" cm="1">
        <f t="array" ref="V26">IF(V25&gt;0,_xlfn.SWITCH(U26,"月","火","火","水","水","木","木","金","金","土","土","日","日","月"),"")</f>
        <v>日</v>
      </c>
      <c r="W26" s="18" t="str" cm="1">
        <f t="array" ref="W26">IF(W25&gt;0,_xlfn.SWITCH(V26,"月","火","火","水","水","木","木","金","金","土","土","日","日","月"),"")</f>
        <v>月</v>
      </c>
      <c r="X26" s="18" t="str" cm="1">
        <f t="array" ref="X26">IF(X25&gt;0,_xlfn.SWITCH(W26,"月","火","火","水","水","木","木","金","金","土","土","日","日","月"),"")</f>
        <v>火</v>
      </c>
      <c r="Y26" s="18" t="str" cm="1">
        <f t="array" ref="Y26">IF(Y25&gt;0,_xlfn.SWITCH(X26,"月","火","火","水","水","木","木","金","金","土","土","日","日","月"),"")</f>
        <v>水</v>
      </c>
      <c r="Z26" s="18" t="str" cm="1">
        <f t="array" ref="Z26">IF(Z25&gt;0,_xlfn.SWITCH(Y26,"月","火","火","水","水","木","木","金","金","土","土","日","日","月"),"")</f>
        <v>木</v>
      </c>
      <c r="AA26" s="18" t="str" cm="1">
        <f t="array" ref="AA26">IF(AA25&gt;0,_xlfn.SWITCH(Z26,"月","火","火","水","水","木","木","金","金","土","土","日","日","月"),"")</f>
        <v>金</v>
      </c>
      <c r="AB26" s="18" t="str" cm="1">
        <f t="array" ref="AB26">IF(AB25&gt;0,_xlfn.SWITCH(AA26,"月","火","火","水","水","木","木","金","金","土","土","日","日","月"),"")</f>
        <v>土</v>
      </c>
      <c r="AC26" s="18" t="str" cm="1">
        <f t="array" ref="AC26">IF(AC25&gt;0,_xlfn.SWITCH(AB26,"月","火","火","水","水","木","木","金","金","土","土","日","日","月"),"")</f>
        <v>日</v>
      </c>
      <c r="AD26" s="18" t="str" cm="1">
        <f t="array" ref="AD26">IF(AD25&gt;0,_xlfn.SWITCH(AC26,"月","火","火","水","水","木","木","金","金","土","土","日","日","月"),"")</f>
        <v>月</v>
      </c>
      <c r="AE26" s="18" t="str" cm="1">
        <f t="array" ref="AE26">IF(AE25&gt;0,_xlfn.SWITCH(AD26,"月","火","火","水","水","木","木","金","金","土","土","日","日","月"),"")</f>
        <v>火</v>
      </c>
      <c r="AF26" s="28"/>
      <c r="AG26" s="7"/>
      <c r="AH26" s="11"/>
      <c r="AI26" s="7"/>
      <c r="AJ26" s="50" t="s">
        <v>12</v>
      </c>
      <c r="AK26" s="51"/>
      <c r="AL26" s="51"/>
      <c r="AM26" s="52"/>
      <c r="AN26" s="46"/>
      <c r="AO26" s="46"/>
    </row>
    <row r="27" spans="2:41" ht="24" x14ac:dyDescent="0.4">
      <c r="B27" s="40"/>
      <c r="C27" s="15" t="s">
        <v>0</v>
      </c>
      <c r="D27" s="10"/>
      <c r="E27" s="10"/>
      <c r="F27" s="10"/>
      <c r="G27" s="10" t="s">
        <v>2</v>
      </c>
      <c r="H27" s="10" t="s">
        <v>2</v>
      </c>
      <c r="I27" s="10"/>
      <c r="J27" s="10"/>
      <c r="K27" s="10"/>
      <c r="L27" s="10"/>
      <c r="M27" s="10"/>
      <c r="N27" s="10" t="s">
        <v>2</v>
      </c>
      <c r="O27" s="10" t="s">
        <v>2</v>
      </c>
      <c r="P27" s="10"/>
      <c r="Q27" s="10"/>
      <c r="R27" s="10"/>
      <c r="S27" s="10"/>
      <c r="T27" s="10"/>
      <c r="U27" s="10" t="s">
        <v>2</v>
      </c>
      <c r="V27" s="10" t="s">
        <v>2</v>
      </c>
      <c r="W27" s="10"/>
      <c r="X27" s="10"/>
      <c r="Y27" s="10"/>
      <c r="Z27" s="10"/>
      <c r="AA27" s="10"/>
      <c r="AB27" s="10" t="s">
        <v>2</v>
      </c>
      <c r="AC27" s="10" t="s">
        <v>2</v>
      </c>
      <c r="AD27" s="10"/>
      <c r="AE27" s="10"/>
      <c r="AF27" s="31">
        <f>IF(_xlfn.DAYS(AI6,AA6)+1-84&gt;=28,28,IF(_xlfn.DAYS(AI6,AA6)+1-84&lt;0,0,_xlfn.DAYS(AI6,AA6)+1-84))</f>
        <v>28</v>
      </c>
      <c r="AG27" s="33"/>
      <c r="AH27" s="53">
        <f>AF27-COUNTIF(D27:AE27,"×")</f>
        <v>28</v>
      </c>
      <c r="AI27" s="54"/>
      <c r="AJ27" s="31">
        <f>COUNTIF(D27:AE27,"●")</f>
        <v>8</v>
      </c>
      <c r="AK27" s="32"/>
      <c r="AL27" s="32"/>
      <c r="AM27" s="33"/>
      <c r="AN27" s="34">
        <f>AJ27/AH27</f>
        <v>0.2857142857142857</v>
      </c>
      <c r="AO27" s="34"/>
    </row>
    <row r="28" spans="2:41" ht="24.75" thickBot="1" x14ac:dyDescent="0.45">
      <c r="B28" s="41"/>
      <c r="C28" s="12" t="s">
        <v>1</v>
      </c>
      <c r="D28" s="8"/>
      <c r="E28" s="8"/>
      <c r="F28" s="8"/>
      <c r="G28" s="8" t="s">
        <v>2</v>
      </c>
      <c r="H28" s="8" t="s">
        <v>2</v>
      </c>
      <c r="I28" s="8"/>
      <c r="J28" s="8"/>
      <c r="K28" s="8"/>
      <c r="L28" s="8"/>
      <c r="M28" s="8"/>
      <c r="N28" s="8" t="s">
        <v>2</v>
      </c>
      <c r="O28" s="8" t="s">
        <v>2</v>
      </c>
      <c r="P28" s="8"/>
      <c r="Q28" s="8"/>
      <c r="R28" s="8"/>
      <c r="S28" s="8"/>
      <c r="T28" s="8"/>
      <c r="U28" s="8" t="s">
        <v>2</v>
      </c>
      <c r="V28" s="8" t="s">
        <v>2</v>
      </c>
      <c r="W28" s="8"/>
      <c r="X28" s="8"/>
      <c r="Y28" s="8"/>
      <c r="Z28" s="8"/>
      <c r="AA28" s="8"/>
      <c r="AB28" s="8" t="s">
        <v>2</v>
      </c>
      <c r="AC28" s="8" t="s">
        <v>2</v>
      </c>
      <c r="AD28" s="8"/>
      <c r="AE28" s="8"/>
      <c r="AF28" s="35">
        <f>IF(_xlfn.DAYS(AI6,AA6)+1-84&gt;=28,28,IF(_xlfn.DAYS(AI6,AA6)+1-84&lt;0,0,_xlfn.DAYS(AI6,AA6)+1-84))</f>
        <v>28</v>
      </c>
      <c r="AG28" s="36"/>
      <c r="AH28" s="35">
        <f>AF28-COUNTIF(D28:AE28,"×")</f>
        <v>28</v>
      </c>
      <c r="AI28" s="36"/>
      <c r="AJ28" s="35">
        <f>COUNTIF(D28:AE28,"●")</f>
        <v>8</v>
      </c>
      <c r="AK28" s="37"/>
      <c r="AL28" s="37"/>
      <c r="AM28" s="36"/>
      <c r="AN28" s="38">
        <f>AJ28/AH28</f>
        <v>0.2857142857142857</v>
      </c>
      <c r="AO28" s="38"/>
    </row>
    <row r="29" spans="2:41" ht="24" x14ac:dyDescent="0.4">
      <c r="B29" s="39" t="s">
        <v>23</v>
      </c>
      <c r="C29" s="9" t="s">
        <v>15</v>
      </c>
      <c r="D29" s="20">
        <f>IF($AF$32-1&lt;0,,MONTH($AA$6+112))</f>
        <v>9</v>
      </c>
      <c r="E29" s="20">
        <f>IF($AF$32-2&lt;0,,MONTH($AA$6+113))</f>
        <v>10</v>
      </c>
      <c r="F29" s="20">
        <f>IF($AF$32-3&lt;0,,MONTH($AA$6+114))</f>
        <v>10</v>
      </c>
      <c r="G29" s="20">
        <f>IF($AF$32-4&lt;0,,MONTH($AA$6+115))</f>
        <v>10</v>
      </c>
      <c r="H29" s="20">
        <f>IF($AF$32-5&lt;0,,MONTH($AA$6+116))</f>
        <v>10</v>
      </c>
      <c r="I29" s="20">
        <f>IF($AF$32-6&lt;0,,MONTH($AA$6+117))</f>
        <v>10</v>
      </c>
      <c r="J29" s="20">
        <f>IF($AF$32-7&lt;0,,MONTH($AA$6+118))</f>
        <v>10</v>
      </c>
      <c r="K29" s="20">
        <f>IF($AF$32-8&lt;0,,MONTH($AA$6+119))</f>
        <v>10</v>
      </c>
      <c r="L29" s="20">
        <f>IF($AF$32-9&lt;0,,MONTH($AA$6+120))</f>
        <v>10</v>
      </c>
      <c r="M29" s="20">
        <f>IF($AF$32-10&lt;0,,MONTH($AA$6+121))</f>
        <v>10</v>
      </c>
      <c r="N29" s="20">
        <f>IF($AF$32-11&lt;0,,MONTH($AA$6+122))</f>
        <v>10</v>
      </c>
      <c r="O29" s="20">
        <f>IF($AF$32-12&lt;0,,MONTH($AA$6+123))</f>
        <v>10</v>
      </c>
      <c r="P29" s="20">
        <f>IF($AF$32-13&lt;0,,MONTH($AA$6+124))</f>
        <v>10</v>
      </c>
      <c r="Q29" s="20">
        <f>IF($AF$32-14&lt;0,,MONTH($AA$6+125))</f>
        <v>10</v>
      </c>
      <c r="R29" s="20">
        <f>IF($AF$32-15&lt;0,,MONTH($AA$6+126))</f>
        <v>10</v>
      </c>
      <c r="S29" s="20">
        <f>IF($AF$32-16&lt;0,,MONTH($AA$6+127))</f>
        <v>10</v>
      </c>
      <c r="T29" s="20">
        <f>IF($AF$32-17&lt;0,,MONTH($AA$6+128))</f>
        <v>10</v>
      </c>
      <c r="U29" s="20">
        <f>IF($AF$32-18&lt;0,,MONTH($AA$6+129))</f>
        <v>10</v>
      </c>
      <c r="V29" s="20">
        <f>IF($AF$32-19&lt;0,,MONTH($AA$6+130))</f>
        <v>10</v>
      </c>
      <c r="W29" s="20">
        <f>IF($AF$32-20&lt;0,,MONTH($AA$6+131))</f>
        <v>10</v>
      </c>
      <c r="X29" s="20">
        <f>IF($AF$32-21&lt;0,,MONTH($AA$6+132))</f>
        <v>10</v>
      </c>
      <c r="Y29" s="20">
        <f>IF($AF$32-22&lt;0,,MONTH($AA$6+133))</f>
        <v>10</v>
      </c>
      <c r="Z29" s="20">
        <f>IF($AF$32-23&lt;0,,MONTH($AA$6+134))</f>
        <v>10</v>
      </c>
      <c r="AA29" s="20">
        <f>IF($AF$32-24&lt;0,,MONTH($AA$6+135))</f>
        <v>10</v>
      </c>
      <c r="AB29" s="20">
        <f>IF($AF$32-25&lt;0,,MONTH($AA$6+136))</f>
        <v>10</v>
      </c>
      <c r="AC29" s="20">
        <f>IF($AF$32-26&lt;0,,MONTH($AA$6+137))</f>
        <v>10</v>
      </c>
      <c r="AD29" s="20">
        <f>IF($AF$32-27&lt;0,,MONTH($AA$6+138))</f>
        <v>10</v>
      </c>
      <c r="AE29" s="20">
        <f>IF($AF$32-28&lt;0,,MONTH($AA$6+139))</f>
        <v>10</v>
      </c>
      <c r="AF29" s="55" t="s">
        <v>39</v>
      </c>
      <c r="AG29" s="56"/>
      <c r="AH29" s="56"/>
      <c r="AI29" s="56"/>
      <c r="AJ29" s="56"/>
      <c r="AK29" s="56"/>
      <c r="AL29" s="56"/>
      <c r="AM29" s="57"/>
      <c r="AN29" s="45" t="s">
        <v>5</v>
      </c>
      <c r="AO29" s="45"/>
    </row>
    <row r="30" spans="2:41" ht="24" x14ac:dyDescent="0.4">
      <c r="B30" s="40"/>
      <c r="C30" s="18" t="s">
        <v>11</v>
      </c>
      <c r="D30" s="20">
        <f>IF($AF$32-1&lt;0,,DAY($AA$6+112))</f>
        <v>30</v>
      </c>
      <c r="E30" s="20">
        <f>IF($AF$32-2&lt;0,,DAY($AA$6+113))</f>
        <v>1</v>
      </c>
      <c r="F30" s="20">
        <f>IF($AF$32-3&lt;0,,DAY($AA$6+114))</f>
        <v>2</v>
      </c>
      <c r="G30" s="20">
        <f>IF($AF$32-4&lt;0,,DAY($AA$6+115))</f>
        <v>3</v>
      </c>
      <c r="H30" s="20">
        <f>IF($AF$32-5&lt;0,,DAY($AA$6+116))</f>
        <v>4</v>
      </c>
      <c r="I30" s="20">
        <f>IF($AF$32-6&lt;0,,DAY($AA$6+117))</f>
        <v>5</v>
      </c>
      <c r="J30" s="20">
        <f>IF($AF$32-7&lt;0,,DAY($AA$6+118))</f>
        <v>6</v>
      </c>
      <c r="K30" s="20">
        <f>IF($AF$32-8&lt;0,,DAY($AA$6+119))</f>
        <v>7</v>
      </c>
      <c r="L30" s="20">
        <f>IF($AF$32-9&lt;0,,DAY($AA$6+120))</f>
        <v>8</v>
      </c>
      <c r="M30" s="20">
        <f>IF($AF$32-10&lt;0,,DAY($AA$6+121))</f>
        <v>9</v>
      </c>
      <c r="N30" s="20">
        <f>IF($AF$32-11&lt;0,,DAY($AA$6+122))</f>
        <v>10</v>
      </c>
      <c r="O30" s="20">
        <f>IF($AF$32-12&lt;0,,DAY($AA$6+123))</f>
        <v>11</v>
      </c>
      <c r="P30" s="20">
        <f>IF($AF$32-13&lt;0,,DAY($AA$6+124))</f>
        <v>12</v>
      </c>
      <c r="Q30" s="20">
        <f>IF($AF$32-14&lt;0,,DAY($AA$6+125))</f>
        <v>13</v>
      </c>
      <c r="R30" s="20">
        <f>IF($AF$32-15&lt;0,,DAY($AA$6+126))</f>
        <v>14</v>
      </c>
      <c r="S30" s="20">
        <f>IF($AF$32-16&lt;0,,DAY($AA$6+127))</f>
        <v>15</v>
      </c>
      <c r="T30" s="20">
        <f>IF($AF$32-17&lt;0,,DAY($AA$6+128))</f>
        <v>16</v>
      </c>
      <c r="U30" s="20">
        <f>IF($AF$32-18&lt;0,,DAY($AA$6+129))</f>
        <v>17</v>
      </c>
      <c r="V30" s="20">
        <f>IF($AF$32-19&lt;0,,DAY($AA$6+130))</f>
        <v>18</v>
      </c>
      <c r="W30" s="20">
        <f>IF($AF$32-20&lt;0,,DAY($AA$6+131))</f>
        <v>19</v>
      </c>
      <c r="X30" s="20">
        <f>IF($AF$32-21&lt;0,,DAY($AA$6+132))</f>
        <v>20</v>
      </c>
      <c r="Y30" s="20">
        <f>IF($AF$32-22&lt;0,,DAY($AA$6+133))</f>
        <v>21</v>
      </c>
      <c r="Z30" s="20">
        <f>IF($AF$32-23&lt;0,,DAY($AA$6+134))</f>
        <v>22</v>
      </c>
      <c r="AA30" s="20">
        <f>IF($AF$32-24&lt;0,,DAY($AA$6+135))</f>
        <v>23</v>
      </c>
      <c r="AB30" s="20">
        <f>IF($AF$32-25&lt;0,,DAY($AA$6+136))</f>
        <v>24</v>
      </c>
      <c r="AC30" s="20">
        <f>IF($AF$32-26&lt;0,,DAY($AA$6+137))</f>
        <v>25</v>
      </c>
      <c r="AD30" s="20">
        <f>IF($AF$32-27&lt;0,,DAY($AA$6+138))</f>
        <v>26</v>
      </c>
      <c r="AE30" s="20">
        <f>IF($AF$32-28&lt;0,,DAY($AA$6+139))</f>
        <v>27</v>
      </c>
      <c r="AF30" s="26"/>
      <c r="AG30" s="27"/>
      <c r="AH30" s="47" t="s">
        <v>14</v>
      </c>
      <c r="AI30" s="48"/>
      <c r="AJ30" s="48"/>
      <c r="AK30" s="48"/>
      <c r="AL30" s="48"/>
      <c r="AM30" s="49"/>
      <c r="AN30" s="46"/>
      <c r="AO30" s="46"/>
    </row>
    <row r="31" spans="2:41" ht="24" x14ac:dyDescent="0.4">
      <c r="B31" s="40"/>
      <c r="C31" s="18" t="s">
        <v>16</v>
      </c>
      <c r="D31" s="18" t="str" cm="1">
        <f t="array" ref="D31">IF(D30&gt;0,_xlfn.SWITCH(AE26,"月","火","火","水","水","木","木","金","金","土","土","日","日","月"),"")</f>
        <v>水</v>
      </c>
      <c r="E31" s="18" t="str" cm="1">
        <f t="array" ref="E31">IF(E30&gt;0,_xlfn.SWITCH(D31,"月","火","火","水","水","木","木","金","金","土","土","日","日","月"),"")</f>
        <v>木</v>
      </c>
      <c r="F31" s="18" t="str" cm="1">
        <f t="array" ref="F31">IF(F30&gt;0,_xlfn.SWITCH(E31,"月","火","火","水","水","木","木","金","金","土","土","日","日","月"),"")</f>
        <v>金</v>
      </c>
      <c r="G31" s="18" t="str" cm="1">
        <f t="array" ref="G31">IF(G30&gt;0,_xlfn.SWITCH(F31,"月","火","火","水","水","木","木","金","金","土","土","日","日","月"),"")</f>
        <v>土</v>
      </c>
      <c r="H31" s="18" t="str" cm="1">
        <f t="array" ref="H31">IF(H30&gt;0,_xlfn.SWITCH(G31,"月","火","火","水","水","木","木","金","金","土","土","日","日","月"),"")</f>
        <v>日</v>
      </c>
      <c r="I31" s="18" t="str" cm="1">
        <f t="array" ref="I31">IF(I30&gt;0,_xlfn.SWITCH(H31,"月","火","火","水","水","木","木","金","金","土","土","日","日","月"),"")</f>
        <v>月</v>
      </c>
      <c r="J31" s="18" t="str" cm="1">
        <f t="array" ref="J31">IF(J30&gt;0,_xlfn.SWITCH(I31,"月","火","火","水","水","木","木","金","金","土","土","日","日","月"),"")</f>
        <v>火</v>
      </c>
      <c r="K31" s="18" t="str" cm="1">
        <f t="array" ref="K31">IF(K30&gt;0,_xlfn.SWITCH(J31,"月","火","火","水","水","木","木","金","金","土","土","日","日","月"),"")</f>
        <v>水</v>
      </c>
      <c r="L31" s="18" t="str" cm="1">
        <f t="array" ref="L31">IF(L30&gt;0,_xlfn.SWITCH(K31,"月","火","火","水","水","木","木","金","金","土","土","日","日","月"),"")</f>
        <v>木</v>
      </c>
      <c r="M31" s="18" t="str" cm="1">
        <f t="array" ref="M31">IF(M30&gt;0,_xlfn.SWITCH(L31,"月","火","火","水","水","木","木","金","金","土","土","日","日","月"),"")</f>
        <v>金</v>
      </c>
      <c r="N31" s="18" t="str" cm="1">
        <f t="array" ref="N31">IF(N30&gt;0,_xlfn.SWITCH(M31,"月","火","火","水","水","木","木","金","金","土","土","日","日","月"),"")</f>
        <v>土</v>
      </c>
      <c r="O31" s="18" t="str" cm="1">
        <f t="array" ref="O31">IF(O30&gt;0,_xlfn.SWITCH(N31,"月","火","火","水","水","木","木","金","金","土","土","日","日","月"),"")</f>
        <v>日</v>
      </c>
      <c r="P31" s="18" t="str" cm="1">
        <f t="array" ref="P31">IF(P30&gt;0,_xlfn.SWITCH(O31,"月","火","火","水","水","木","木","金","金","土","土","日","日","月"),"")</f>
        <v>月</v>
      </c>
      <c r="Q31" s="18" t="str" cm="1">
        <f t="array" ref="Q31">IF(Q30&gt;0,_xlfn.SWITCH(P31,"月","火","火","水","水","木","木","金","金","土","土","日","日","月"),"")</f>
        <v>火</v>
      </c>
      <c r="R31" s="18" t="str" cm="1">
        <f t="array" ref="R31">IF(R30&gt;0,_xlfn.SWITCH(Q31,"月","火","火","水","水","木","木","金","金","土","土","日","日","月"),"")</f>
        <v>水</v>
      </c>
      <c r="S31" s="18" t="str" cm="1">
        <f t="array" ref="S31">IF(S30&gt;0,_xlfn.SWITCH(R31,"月","火","火","水","水","木","木","金","金","土","土","日","日","月"),"")</f>
        <v>木</v>
      </c>
      <c r="T31" s="18" t="str" cm="1">
        <f t="array" ref="T31">IF(T30&gt;0,_xlfn.SWITCH(S31,"月","火","火","水","水","木","木","金","金","土","土","日","日","月"),"")</f>
        <v>金</v>
      </c>
      <c r="U31" s="18" t="str" cm="1">
        <f t="array" ref="U31">IF(U30&gt;0,_xlfn.SWITCH(T31,"月","火","火","水","水","木","木","金","金","土","土","日","日","月"),"")</f>
        <v>土</v>
      </c>
      <c r="V31" s="18" t="str" cm="1">
        <f t="array" ref="V31">IF(V30&gt;0,_xlfn.SWITCH(U31,"月","火","火","水","水","木","木","金","金","土","土","日","日","月"),"")</f>
        <v>日</v>
      </c>
      <c r="W31" s="18" t="str" cm="1">
        <f t="array" ref="W31">IF(W30&gt;0,_xlfn.SWITCH(V31,"月","火","火","水","水","木","木","金","金","土","土","日","日","月"),"")</f>
        <v>月</v>
      </c>
      <c r="X31" s="18" t="str" cm="1">
        <f t="array" ref="X31">IF(X30&gt;0,_xlfn.SWITCH(W31,"月","火","火","水","水","木","木","金","金","土","土","日","日","月"),"")</f>
        <v>火</v>
      </c>
      <c r="Y31" s="18" t="str" cm="1">
        <f t="array" ref="Y31">IF(Y30&gt;0,_xlfn.SWITCH(X31,"月","火","火","水","水","木","木","金","金","土","土","日","日","月"),"")</f>
        <v>水</v>
      </c>
      <c r="Z31" s="18" t="str" cm="1">
        <f t="array" ref="Z31">IF(Z30&gt;0,_xlfn.SWITCH(Y31,"月","火","火","水","水","木","木","金","金","土","土","日","日","月"),"")</f>
        <v>木</v>
      </c>
      <c r="AA31" s="18" t="str" cm="1">
        <f t="array" ref="AA31">IF(AA30&gt;0,_xlfn.SWITCH(Z31,"月","火","火","水","水","木","木","金","金","土","土","日","日","月"),"")</f>
        <v>金</v>
      </c>
      <c r="AB31" s="18" t="str" cm="1">
        <f t="array" ref="AB31">IF(AB30&gt;0,_xlfn.SWITCH(AA31,"月","火","火","水","水","木","木","金","金","土","土","日","日","月"),"")</f>
        <v>土</v>
      </c>
      <c r="AC31" s="18" t="str" cm="1">
        <f t="array" ref="AC31">IF(AC30&gt;0,_xlfn.SWITCH(AB31,"月","火","火","水","水","木","木","金","金","土","土","日","日","月"),"")</f>
        <v>日</v>
      </c>
      <c r="AD31" s="18" t="str" cm="1">
        <f t="array" ref="AD31">IF(AD30&gt;0,_xlfn.SWITCH(AC31,"月","火","火","水","水","木","木","金","金","土","土","日","日","月"),"")</f>
        <v>月</v>
      </c>
      <c r="AE31" s="18" t="str" cm="1">
        <f t="array" ref="AE31">IF(AE30&gt;0,_xlfn.SWITCH(AD31,"月","火","火","水","水","木","木","金","金","土","土","日","日","月"),"")</f>
        <v>火</v>
      </c>
      <c r="AF31" s="28"/>
      <c r="AG31" s="7"/>
      <c r="AH31" s="11"/>
      <c r="AI31" s="7"/>
      <c r="AJ31" s="50" t="s">
        <v>12</v>
      </c>
      <c r="AK31" s="51"/>
      <c r="AL31" s="51"/>
      <c r="AM31" s="52"/>
      <c r="AN31" s="46"/>
      <c r="AO31" s="46"/>
    </row>
    <row r="32" spans="2:41" ht="24" x14ac:dyDescent="0.4">
      <c r="B32" s="40"/>
      <c r="C32" s="15" t="s">
        <v>0</v>
      </c>
      <c r="D32" s="10"/>
      <c r="E32" s="10"/>
      <c r="F32" s="10"/>
      <c r="G32" s="10" t="s">
        <v>2</v>
      </c>
      <c r="H32" s="10" t="s">
        <v>2</v>
      </c>
      <c r="I32" s="10"/>
      <c r="J32" s="10"/>
      <c r="K32" s="10"/>
      <c r="L32" s="10"/>
      <c r="M32" s="10"/>
      <c r="N32" s="10" t="s">
        <v>2</v>
      </c>
      <c r="O32" s="10" t="s">
        <v>2</v>
      </c>
      <c r="P32" s="10"/>
      <c r="Q32" s="10"/>
      <c r="R32" s="10"/>
      <c r="S32" s="10"/>
      <c r="T32" s="10"/>
      <c r="U32" s="10" t="s">
        <v>2</v>
      </c>
      <c r="V32" s="10" t="s">
        <v>2</v>
      </c>
      <c r="W32" s="10"/>
      <c r="X32" s="10"/>
      <c r="Y32" s="10"/>
      <c r="Z32" s="10"/>
      <c r="AA32" s="10"/>
      <c r="AB32" s="10" t="s">
        <v>2</v>
      </c>
      <c r="AC32" s="10" t="s">
        <v>2</v>
      </c>
      <c r="AD32" s="10"/>
      <c r="AE32" s="10"/>
      <c r="AF32" s="31">
        <f>IF(_xlfn.DAYS(AI6,AA6)+1-112&gt;=28,28,IF(_xlfn.DAYS(AI6,AA6)+1-112&lt;0,0,_xlfn.DAYS(AI6,AA6)+1-112))</f>
        <v>28</v>
      </c>
      <c r="AG32" s="33"/>
      <c r="AH32" s="53">
        <f>AF32-COUNTIF(D32:AE32,"×")</f>
        <v>28</v>
      </c>
      <c r="AI32" s="54"/>
      <c r="AJ32" s="31">
        <f>COUNTIF(D32:AE32,"●")</f>
        <v>8</v>
      </c>
      <c r="AK32" s="32"/>
      <c r="AL32" s="32"/>
      <c r="AM32" s="33"/>
      <c r="AN32" s="34">
        <f>AJ32/AH32</f>
        <v>0.2857142857142857</v>
      </c>
      <c r="AO32" s="34"/>
    </row>
    <row r="33" spans="2:41" ht="24.75" thickBot="1" x14ac:dyDescent="0.45">
      <c r="B33" s="41"/>
      <c r="C33" s="12" t="s">
        <v>1</v>
      </c>
      <c r="D33" s="8"/>
      <c r="E33" s="8" t="s">
        <v>2</v>
      </c>
      <c r="F33" s="8"/>
      <c r="G33" s="8"/>
      <c r="H33" s="8" t="s">
        <v>2</v>
      </c>
      <c r="I33" s="8"/>
      <c r="J33" s="8"/>
      <c r="K33" s="8"/>
      <c r="L33" s="8"/>
      <c r="M33" s="8"/>
      <c r="N33" s="8" t="s">
        <v>2</v>
      </c>
      <c r="O33" s="8" t="s">
        <v>2</v>
      </c>
      <c r="P33" s="8"/>
      <c r="Q33" s="8"/>
      <c r="R33" s="8"/>
      <c r="S33" s="8"/>
      <c r="T33" s="8"/>
      <c r="U33" s="8" t="s">
        <v>2</v>
      </c>
      <c r="V33" s="8" t="s">
        <v>2</v>
      </c>
      <c r="W33" s="8"/>
      <c r="X33" s="8"/>
      <c r="Y33" s="8"/>
      <c r="Z33" s="8"/>
      <c r="AA33" s="8"/>
      <c r="AB33" s="8" t="s">
        <v>2</v>
      </c>
      <c r="AC33" s="8" t="s">
        <v>2</v>
      </c>
      <c r="AD33" s="8"/>
      <c r="AE33" s="8"/>
      <c r="AF33" s="35">
        <f>IF(_xlfn.DAYS(AI6,AA6)+1-112&gt;=28,28,IF(_xlfn.DAYS(AI6,AA6)+1-112&lt;0,0,_xlfn.DAYS(AI6,AA6)+1-112))</f>
        <v>28</v>
      </c>
      <c r="AG33" s="36"/>
      <c r="AH33" s="35">
        <f>AF33-COUNTIF(D33:AE33,"×")</f>
        <v>28</v>
      </c>
      <c r="AI33" s="36"/>
      <c r="AJ33" s="35">
        <f>COUNTIF(D33:AE33,"●")</f>
        <v>8</v>
      </c>
      <c r="AK33" s="37"/>
      <c r="AL33" s="37"/>
      <c r="AM33" s="36"/>
      <c r="AN33" s="38">
        <f>AJ33/AH33</f>
        <v>0.2857142857142857</v>
      </c>
      <c r="AO33" s="38"/>
    </row>
    <row r="34" spans="2:41" ht="24" x14ac:dyDescent="0.4">
      <c r="B34" s="40" t="s">
        <v>24</v>
      </c>
      <c r="C34" s="16" t="s">
        <v>15</v>
      </c>
      <c r="D34" s="20">
        <f>IF($AF$37-1&lt;0,,MONTH($AA$6+140))</f>
        <v>10</v>
      </c>
      <c r="E34" s="20">
        <f>IF($AF$37-2&lt;0,,MONTH($AA$6+141))</f>
        <v>10</v>
      </c>
      <c r="F34" s="20">
        <f>IF($AF$37-3&lt;0,,MONTH($AA$6+142))</f>
        <v>10</v>
      </c>
      <c r="G34" s="20">
        <f>IF($AF$37-4&lt;0,,MONTH($AA$6+143))</f>
        <v>10</v>
      </c>
      <c r="H34" s="20">
        <f>IF($AF$37-5&lt;0,,MONTH($AA$6+144))</f>
        <v>11</v>
      </c>
      <c r="I34" s="20">
        <f>IF($AF$37-6&lt;0,,MONTH($AA$6+145))</f>
        <v>11</v>
      </c>
      <c r="J34" s="20">
        <f>IF($AF$37-7&lt;0,,MONTH($AA$6+146))</f>
        <v>11</v>
      </c>
      <c r="K34" s="20">
        <f>IF($AF$37-8&lt;0,,MONTH($AA$6+147))</f>
        <v>11</v>
      </c>
      <c r="L34" s="20">
        <f>IF($AF$37-9&lt;0,,MONTH($AA$6+148))</f>
        <v>11</v>
      </c>
      <c r="M34" s="20">
        <f>IF($AF$37-10&lt;0,,MONTH($AA$6+149))</f>
        <v>11</v>
      </c>
      <c r="N34" s="20">
        <f>IF($AF$37-11&lt;0,,MONTH($AA$6+150))</f>
        <v>11</v>
      </c>
      <c r="O34" s="20">
        <f>IF($AF$37-12&lt;0,,MONTH($AA$6+151))</f>
        <v>11</v>
      </c>
      <c r="P34" s="20">
        <f>IF($AF$37-13&lt;0,,MONTH($AA$6+152))</f>
        <v>11</v>
      </c>
      <c r="Q34" s="20">
        <f>IF($AF$37-14&lt;0,,MONTH($AA$6+153))</f>
        <v>11</v>
      </c>
      <c r="R34" s="20">
        <f>IF($AF$37-15&lt;0,,MONTH($AA$6+154))</f>
        <v>11</v>
      </c>
      <c r="S34" s="20">
        <f>IF($AF$37-16&lt;0,,MONTH($AA$6+155))</f>
        <v>11</v>
      </c>
      <c r="T34" s="20">
        <f>IF($AF$37-17&lt;0,,MONTH($AA$6+156))</f>
        <v>11</v>
      </c>
      <c r="U34" s="20">
        <f>IF($AF$37-18&lt;0,,MONTH($AA$6+157))</f>
        <v>11</v>
      </c>
      <c r="V34" s="20">
        <f>IF($AF$37-19&lt;0,,MONTH($AA$6+158))</f>
        <v>11</v>
      </c>
      <c r="W34" s="20">
        <f>IF($AF$37-20&lt;0,,MONTH($AA$6+159))</f>
        <v>11</v>
      </c>
      <c r="X34" s="20">
        <f>IF($AF$37-21&lt;0,,MONTH($AA$6+160))</f>
        <v>11</v>
      </c>
      <c r="Y34" s="20">
        <f>IF($AF$37-22&lt;0,,MONTH($AA$6+161))</f>
        <v>11</v>
      </c>
      <c r="Z34" s="20">
        <f>IF($AF$37-23&lt;0,,MONTH($AA$6+162))</f>
        <v>11</v>
      </c>
      <c r="AA34" s="20">
        <f>IF($AF$37-24&lt;0,,MONTH($AA$6+163))</f>
        <v>11</v>
      </c>
      <c r="AB34" s="20">
        <f>IF($AF$37-25&lt;0,,MONTH($AA$6+164))</f>
        <v>11</v>
      </c>
      <c r="AC34" s="20">
        <f>IF($AF$37-26&lt;0,,MONTH($AA$6+165))</f>
        <v>11</v>
      </c>
      <c r="AD34" s="20">
        <f>IF($AF$37-27&lt;0,,MONTH($AA$6+166))</f>
        <v>11</v>
      </c>
      <c r="AE34" s="20">
        <f>IF($AF$37-28&lt;0,,MONTH($AA$6+167))</f>
        <v>11</v>
      </c>
      <c r="AF34" s="55" t="s">
        <v>39</v>
      </c>
      <c r="AG34" s="56"/>
      <c r="AH34" s="56"/>
      <c r="AI34" s="56"/>
      <c r="AJ34" s="56"/>
      <c r="AK34" s="56"/>
      <c r="AL34" s="56"/>
      <c r="AM34" s="57"/>
      <c r="AN34" s="58" t="s">
        <v>5</v>
      </c>
      <c r="AO34" s="58"/>
    </row>
    <row r="35" spans="2:41" ht="24" x14ac:dyDescent="0.4">
      <c r="B35" s="40"/>
      <c r="C35" s="18" t="s">
        <v>11</v>
      </c>
      <c r="D35" s="20">
        <f>IF($AF$37-1&lt;0,,DAY($AA$6+140))</f>
        <v>28</v>
      </c>
      <c r="E35" s="20">
        <f>IF($AF$37-2&lt;0,,DAY($AA$6+141))</f>
        <v>29</v>
      </c>
      <c r="F35" s="20">
        <f>IF($AF$37-3&lt;0,,DAY($AA$6+142))</f>
        <v>30</v>
      </c>
      <c r="G35" s="20">
        <f>IF($AF$37-4&lt;0,,DAY($AA$6+143))</f>
        <v>31</v>
      </c>
      <c r="H35" s="20">
        <f>IF($AF$37-5&lt;0,,DAY($AA$6+144))</f>
        <v>1</v>
      </c>
      <c r="I35" s="20">
        <f>IF($AF$37-6&lt;0,,DAY($AA$6+145))</f>
        <v>2</v>
      </c>
      <c r="J35" s="20">
        <f>IF($AF$37-7&lt;0,,DAY($AA$6+146))</f>
        <v>3</v>
      </c>
      <c r="K35" s="20">
        <f>IF($AF$37-8&lt;0,,DAY($AA$6+147))</f>
        <v>4</v>
      </c>
      <c r="L35" s="20">
        <f>IF($AF$37-9&lt;0,,DAY($AA$6+148))</f>
        <v>5</v>
      </c>
      <c r="M35" s="20">
        <f>IF($AF$37-10&lt;0,,DAY($AA$6+149))</f>
        <v>6</v>
      </c>
      <c r="N35" s="20">
        <f>IF($AF$37-11&lt;0,,DAY($AA$6+150))</f>
        <v>7</v>
      </c>
      <c r="O35" s="20">
        <f>IF($AF$37-12&lt;0,,DAY($AA$6+151))</f>
        <v>8</v>
      </c>
      <c r="P35" s="20">
        <f>IF($AF$37-13&lt;0,,DAY($AA$6+152))</f>
        <v>9</v>
      </c>
      <c r="Q35" s="20">
        <f>IF($AF$37-14&lt;0,,DAY($AA$6+153))</f>
        <v>10</v>
      </c>
      <c r="R35" s="20">
        <f>IF($AF$37-15&lt;0,,DAY($AA$6+154))</f>
        <v>11</v>
      </c>
      <c r="S35" s="20">
        <f>IF($AF$37-16&lt;0,,DAY($AA$6+155))</f>
        <v>12</v>
      </c>
      <c r="T35" s="20">
        <f>IF($AF$37-17&lt;0,,DAY($AA$6+156))</f>
        <v>13</v>
      </c>
      <c r="U35" s="20">
        <f>IF($AF$37-18&lt;0,,DAY($AA$6+157))</f>
        <v>14</v>
      </c>
      <c r="V35" s="20">
        <f>IF($AF$37-19&lt;0,,DAY($AA$6+158))</f>
        <v>15</v>
      </c>
      <c r="W35" s="20">
        <f>IF($AF$37-20&lt;0,,DAY($AA$6+159))</f>
        <v>16</v>
      </c>
      <c r="X35" s="20">
        <f>IF($AF$37-21&lt;0,,DAY($AA$6+160))</f>
        <v>17</v>
      </c>
      <c r="Y35" s="20">
        <f>IF($AF$37-22&lt;0,,DAY($AA$6+161))</f>
        <v>18</v>
      </c>
      <c r="Z35" s="20">
        <f>IF($AF$37-23&lt;0,,DAY($AA$6+162))</f>
        <v>19</v>
      </c>
      <c r="AA35" s="20">
        <f>IF($AF$37-24&lt;0,,DAY($AA$6+163))</f>
        <v>20</v>
      </c>
      <c r="AB35" s="20">
        <f>IF($AF$37-25&lt;0,,DAY($AA$6+164))</f>
        <v>21</v>
      </c>
      <c r="AC35" s="20">
        <f>IF($AF$37-26&lt;0,,DAY($AA$6+165))</f>
        <v>22</v>
      </c>
      <c r="AD35" s="20">
        <f>IF($AF$37-27&lt;0,,DAY($AA$6+166))</f>
        <v>23</v>
      </c>
      <c r="AE35" s="20">
        <f>IF($AF$37-28&lt;0,,DAY($AA$6+167))</f>
        <v>24</v>
      </c>
      <c r="AF35" s="26"/>
      <c r="AG35" s="27"/>
      <c r="AH35" s="47" t="s">
        <v>14</v>
      </c>
      <c r="AI35" s="48"/>
      <c r="AJ35" s="48"/>
      <c r="AK35" s="48"/>
      <c r="AL35" s="48"/>
      <c r="AM35" s="49"/>
      <c r="AN35" s="46"/>
      <c r="AO35" s="46"/>
    </row>
    <row r="36" spans="2:41" ht="24" x14ac:dyDescent="0.4">
      <c r="B36" s="40"/>
      <c r="C36" s="18" t="s">
        <v>16</v>
      </c>
      <c r="D36" s="20" t="str" cm="1">
        <f t="array" ref="D36">IF(D35&gt;0,_xlfn.SWITCH(AE31,"月","火","火","水","水","木","木","金","金","土","土","日","日","月"),"")</f>
        <v>水</v>
      </c>
      <c r="E36" s="20" t="str" cm="1">
        <f t="array" ref="E36">IF(E35&gt;0,_xlfn.SWITCH(D36,"月","火","火","水","水","木","木","金","金","土","土","日","日","月"),"")</f>
        <v>木</v>
      </c>
      <c r="F36" s="20" t="str" cm="1">
        <f t="array" ref="F36">IF(F35&gt;0,_xlfn.SWITCH(E36,"月","火","火","水","水","木","木","金","金","土","土","日","日","月"),"")</f>
        <v>金</v>
      </c>
      <c r="G36" s="20" t="str" cm="1">
        <f t="array" ref="G36">IF(G35&gt;0,_xlfn.SWITCH(F36,"月","火","火","水","水","木","木","金","金","土","土","日","日","月"),"")</f>
        <v>土</v>
      </c>
      <c r="H36" s="20" t="str" cm="1">
        <f t="array" ref="H36">IF(H35&gt;0,_xlfn.SWITCH(G36,"月","火","火","水","水","木","木","金","金","土","土","日","日","月"),"")</f>
        <v>日</v>
      </c>
      <c r="I36" s="20" t="str" cm="1">
        <f t="array" ref="I36">IF(I35&gt;0,_xlfn.SWITCH(H36,"月","火","火","水","水","木","木","金","金","土","土","日","日","月"),"")</f>
        <v>月</v>
      </c>
      <c r="J36" s="20" t="str" cm="1">
        <f t="array" ref="J36">IF(J35&gt;0,_xlfn.SWITCH(I36,"月","火","火","水","水","木","木","金","金","土","土","日","日","月"),"")</f>
        <v>火</v>
      </c>
      <c r="K36" s="20" t="str" cm="1">
        <f t="array" ref="K36">IF(K35&gt;0,_xlfn.SWITCH(J36,"月","火","火","水","水","木","木","金","金","土","土","日","日","月"),"")</f>
        <v>水</v>
      </c>
      <c r="L36" s="20" t="str" cm="1">
        <f t="array" ref="L36">IF(L35&gt;0,_xlfn.SWITCH(K36,"月","火","火","水","水","木","木","金","金","土","土","日","日","月"),"")</f>
        <v>木</v>
      </c>
      <c r="M36" s="20" t="str" cm="1">
        <f t="array" ref="M36">IF(M35&gt;0,_xlfn.SWITCH(L36,"月","火","火","水","水","木","木","金","金","土","土","日","日","月"),"")</f>
        <v>金</v>
      </c>
      <c r="N36" s="20" t="str" cm="1">
        <f t="array" ref="N36">IF(N35&gt;0,_xlfn.SWITCH(M36,"月","火","火","水","水","木","木","金","金","土","土","日","日","月"),"")</f>
        <v>土</v>
      </c>
      <c r="O36" s="20" t="str" cm="1">
        <f t="array" ref="O36">IF(O35&gt;0,_xlfn.SWITCH(N36,"月","火","火","水","水","木","木","金","金","土","土","日","日","月"),"")</f>
        <v>日</v>
      </c>
      <c r="P36" s="20" t="str" cm="1">
        <f t="array" ref="P36">IF(P35&gt;0,_xlfn.SWITCH(O36,"月","火","火","水","水","木","木","金","金","土","土","日","日","月"),"")</f>
        <v>月</v>
      </c>
      <c r="Q36" s="20" t="str" cm="1">
        <f t="array" ref="Q36">IF(Q35&gt;0,_xlfn.SWITCH(P36,"月","火","火","水","水","木","木","金","金","土","土","日","日","月"),"")</f>
        <v>火</v>
      </c>
      <c r="R36" s="20" t="str" cm="1">
        <f t="array" ref="R36">IF(R35&gt;0,_xlfn.SWITCH(Q36,"月","火","火","水","水","木","木","金","金","土","土","日","日","月"),"")</f>
        <v>水</v>
      </c>
      <c r="S36" s="20" t="str" cm="1">
        <f t="array" ref="S36">IF(S35&gt;0,_xlfn.SWITCH(R36,"月","火","火","水","水","木","木","金","金","土","土","日","日","月"),"")</f>
        <v>木</v>
      </c>
      <c r="T36" s="20" t="str" cm="1">
        <f t="array" ref="T36">IF(T35&gt;0,_xlfn.SWITCH(S36,"月","火","火","水","水","木","木","金","金","土","土","日","日","月"),"")</f>
        <v>金</v>
      </c>
      <c r="U36" s="20" t="str" cm="1">
        <f t="array" ref="U36">IF(U35&gt;0,_xlfn.SWITCH(T36,"月","火","火","水","水","木","木","金","金","土","土","日","日","月"),"")</f>
        <v>土</v>
      </c>
      <c r="V36" s="20" t="str" cm="1">
        <f t="array" ref="V36">IF(V35&gt;0,_xlfn.SWITCH(U36,"月","火","火","水","水","木","木","金","金","土","土","日","日","月"),"")</f>
        <v>日</v>
      </c>
      <c r="W36" s="20" t="str" cm="1">
        <f t="array" ref="W36">IF(W35&gt;0,_xlfn.SWITCH(V36,"月","火","火","水","水","木","木","金","金","土","土","日","日","月"),"")</f>
        <v>月</v>
      </c>
      <c r="X36" s="20" t="str" cm="1">
        <f t="array" ref="X36">IF(X35&gt;0,_xlfn.SWITCH(W36,"月","火","火","水","水","木","木","金","金","土","土","日","日","月"),"")</f>
        <v>火</v>
      </c>
      <c r="Y36" s="20" t="str" cm="1">
        <f t="array" ref="Y36">IF(Y35&gt;0,_xlfn.SWITCH(X36,"月","火","火","水","水","木","木","金","金","土","土","日","日","月"),"")</f>
        <v>水</v>
      </c>
      <c r="Z36" s="20" t="str" cm="1">
        <f t="array" ref="Z36">IF(Z35&gt;0,_xlfn.SWITCH(Y36,"月","火","火","水","水","木","木","金","金","土","土","日","日","月"),"")</f>
        <v>木</v>
      </c>
      <c r="AA36" s="20" t="str" cm="1">
        <f t="array" ref="AA36">IF(AA35&gt;0,_xlfn.SWITCH(Z36,"月","火","火","水","水","木","木","金","金","土","土","日","日","月"),"")</f>
        <v>金</v>
      </c>
      <c r="AB36" s="20" t="str" cm="1">
        <f t="array" ref="AB36">IF(AB35&gt;0,_xlfn.SWITCH(AA36,"月","火","火","水","水","木","木","金","金","土","土","日","日","月"),"")</f>
        <v>土</v>
      </c>
      <c r="AC36" s="20" t="str" cm="1">
        <f t="array" ref="AC36">IF(AC35&gt;0,_xlfn.SWITCH(AB36,"月","火","火","水","水","木","木","金","金","土","土","日","日","月"),"")</f>
        <v>日</v>
      </c>
      <c r="AD36" s="20" t="str" cm="1">
        <f t="array" ref="AD36">IF(AD35&gt;0,_xlfn.SWITCH(AC36,"月","火","火","水","水","木","木","金","金","土","土","日","日","月"),"")</f>
        <v>月</v>
      </c>
      <c r="AE36" s="20" t="str" cm="1">
        <f t="array" ref="AE36">IF(AE35&gt;0,_xlfn.SWITCH(AD36,"月","火","火","水","水","木","木","金","金","土","土","日","日","月"),"")</f>
        <v>火</v>
      </c>
      <c r="AF36" s="28"/>
      <c r="AG36" s="7"/>
      <c r="AH36" s="11"/>
      <c r="AI36" s="7"/>
      <c r="AJ36" s="50" t="s">
        <v>12</v>
      </c>
      <c r="AK36" s="51"/>
      <c r="AL36" s="51"/>
      <c r="AM36" s="52"/>
      <c r="AN36" s="46"/>
      <c r="AO36" s="46"/>
    </row>
    <row r="37" spans="2:41" ht="24" x14ac:dyDescent="0.4">
      <c r="B37" s="40"/>
      <c r="C37" s="15" t="s">
        <v>0</v>
      </c>
      <c r="D37" s="10"/>
      <c r="E37" s="10"/>
      <c r="F37" s="10"/>
      <c r="G37" s="10" t="s">
        <v>2</v>
      </c>
      <c r="H37" s="10" t="s">
        <v>2</v>
      </c>
      <c r="I37" s="10"/>
      <c r="J37" s="10"/>
      <c r="K37" s="10"/>
      <c r="L37" s="10"/>
      <c r="M37" s="10"/>
      <c r="N37" s="10" t="s">
        <v>2</v>
      </c>
      <c r="O37" s="10" t="s">
        <v>2</v>
      </c>
      <c r="P37" s="10"/>
      <c r="Q37" s="10"/>
      <c r="R37" s="10"/>
      <c r="S37" s="10"/>
      <c r="T37" s="10"/>
      <c r="U37" s="10" t="s">
        <v>2</v>
      </c>
      <c r="V37" s="10" t="s">
        <v>2</v>
      </c>
      <c r="W37" s="10"/>
      <c r="X37" s="10"/>
      <c r="Y37" s="10"/>
      <c r="Z37" s="10"/>
      <c r="AA37" s="10"/>
      <c r="AB37" s="10" t="s">
        <v>2</v>
      </c>
      <c r="AC37" s="10" t="s">
        <v>2</v>
      </c>
      <c r="AD37" s="10"/>
      <c r="AE37" s="10"/>
      <c r="AF37" s="31">
        <f>IF(_xlfn.DAYS(AI6,AA6)+1-140&gt;=28,28,IF(_xlfn.DAYS(AI6,AA6)+1-140&lt;0,0,_xlfn.DAYS(AI6,AA6)+1-140))</f>
        <v>28</v>
      </c>
      <c r="AG37" s="33"/>
      <c r="AH37" s="53">
        <f>AF37-COUNTIF(D37:AE37,"×")</f>
        <v>28</v>
      </c>
      <c r="AI37" s="54"/>
      <c r="AJ37" s="31">
        <f>COUNTIF(D37:AE37,"●")</f>
        <v>8</v>
      </c>
      <c r="AK37" s="32"/>
      <c r="AL37" s="32"/>
      <c r="AM37" s="33"/>
      <c r="AN37" s="34">
        <f>AJ37/AH37</f>
        <v>0.2857142857142857</v>
      </c>
      <c r="AO37" s="34"/>
    </row>
    <row r="38" spans="2:41" ht="24.75" thickBot="1" x14ac:dyDescent="0.45">
      <c r="B38" s="41"/>
      <c r="C38" s="12" t="s">
        <v>1</v>
      </c>
      <c r="D38" s="8"/>
      <c r="E38" s="8"/>
      <c r="F38" s="8"/>
      <c r="G38" s="8" t="s">
        <v>2</v>
      </c>
      <c r="H38" s="8" t="s">
        <v>2</v>
      </c>
      <c r="I38" s="8"/>
      <c r="J38" s="8"/>
      <c r="K38" s="8"/>
      <c r="L38" s="8"/>
      <c r="M38" s="8"/>
      <c r="N38" s="8" t="s">
        <v>2</v>
      </c>
      <c r="O38" s="8" t="s">
        <v>2</v>
      </c>
      <c r="P38" s="8"/>
      <c r="Q38" s="8"/>
      <c r="R38" s="8"/>
      <c r="S38" s="8"/>
      <c r="T38" s="8"/>
      <c r="U38" s="8" t="s">
        <v>2</v>
      </c>
      <c r="V38" s="8" t="s">
        <v>2</v>
      </c>
      <c r="W38" s="8"/>
      <c r="X38" s="8"/>
      <c r="Y38" s="8"/>
      <c r="Z38" s="8"/>
      <c r="AA38" s="8"/>
      <c r="AB38" s="8" t="s">
        <v>2</v>
      </c>
      <c r="AC38" s="8" t="s">
        <v>2</v>
      </c>
      <c r="AD38" s="8"/>
      <c r="AE38" s="8"/>
      <c r="AF38" s="35">
        <f>IF(_xlfn.DAYS(AI6,AA6)+1-140&gt;=28,28,IF(_xlfn.DAYS(AI6,AA6)+1-140&lt;0,0,_xlfn.DAYS(AI6,AA6)+1-140))</f>
        <v>28</v>
      </c>
      <c r="AG38" s="36"/>
      <c r="AH38" s="35">
        <f>AF38-COUNTIF(D38:AE38,"×")</f>
        <v>28</v>
      </c>
      <c r="AI38" s="36"/>
      <c r="AJ38" s="35">
        <f>COUNTIF(D38:AE38,"●")</f>
        <v>8</v>
      </c>
      <c r="AK38" s="37"/>
      <c r="AL38" s="37"/>
      <c r="AM38" s="36"/>
      <c r="AN38" s="38">
        <f>AJ38/AH38</f>
        <v>0.2857142857142857</v>
      </c>
      <c r="AO38" s="38"/>
    </row>
    <row r="39" spans="2:41" ht="24" x14ac:dyDescent="0.4">
      <c r="B39" s="40" t="s">
        <v>25</v>
      </c>
      <c r="C39" s="16" t="s">
        <v>15</v>
      </c>
      <c r="D39" s="20">
        <f>IF($AF$42-1&lt;0,,MONTH($AA$6+168))</f>
        <v>11</v>
      </c>
      <c r="E39" s="20">
        <f>IF($AF$42-2&lt;0,,MONTH($AA$6+169))</f>
        <v>11</v>
      </c>
      <c r="F39" s="20">
        <f>IF($AF$42-3&lt;0,,MONTH($AA$6+170))</f>
        <v>11</v>
      </c>
      <c r="G39" s="20">
        <f>IF($AF$42-4&lt;0,,MONTH($AA$6+171))</f>
        <v>11</v>
      </c>
      <c r="H39" s="20">
        <f>IF($AF$42-5&lt;0,,MONTH($AA$6+172))</f>
        <v>11</v>
      </c>
      <c r="I39" s="20">
        <f>IF($AF$42-6&lt;0,,MONTH($AA$6+173))</f>
        <v>11</v>
      </c>
      <c r="J39" s="20">
        <f>IF($AF$42-7&lt;0,,MONTH($AA$6+174))</f>
        <v>12</v>
      </c>
      <c r="K39" s="20">
        <f>IF($AF$42-8&lt;0,,MONTH($AA$6+175))</f>
        <v>12</v>
      </c>
      <c r="L39" s="20">
        <f>IF($AF$42-9&lt;0,,MONTH($AA$6+176))</f>
        <v>12</v>
      </c>
      <c r="M39" s="20">
        <f>IF($AF$42-10&lt;0,,MONTH($AA$6+177))</f>
        <v>12</v>
      </c>
      <c r="N39" s="20">
        <f>IF($AF$42-11&lt;0,,MONTH($AA$6+178))</f>
        <v>12</v>
      </c>
      <c r="O39" s="20">
        <f>IF($AF$42-12&lt;0,,MONTH($AA$6+179))</f>
        <v>12</v>
      </c>
      <c r="P39" s="20">
        <f>IF($AF$42-13&lt;0,,MONTH($AA$6+180))</f>
        <v>12</v>
      </c>
      <c r="Q39" s="20">
        <f>IF($AF$42-14&lt;0,,MONTH($AA$6+181))</f>
        <v>12</v>
      </c>
      <c r="R39" s="20">
        <f>IF($AF$42-15&lt;0,,MONTH($AA$6+182))</f>
        <v>12</v>
      </c>
      <c r="S39" s="20">
        <f>IF($AF$42-16&lt;0,,MONTH($AA$6+183))</f>
        <v>12</v>
      </c>
      <c r="T39" s="20">
        <f>IF($AF$42-17&lt;0,,MONTH($AA$6+184))</f>
        <v>12</v>
      </c>
      <c r="U39" s="20">
        <f>IF($AF$42-18&lt;0,,MONTH($AA$6+185))</f>
        <v>12</v>
      </c>
      <c r="V39" s="20">
        <f>IF($AF$42-19&lt;0,,MONTH($AA$6+186))</f>
        <v>12</v>
      </c>
      <c r="W39" s="20">
        <f>IF($AF$42-20&lt;0,,MONTH($AA$6+187))</f>
        <v>12</v>
      </c>
      <c r="X39" s="20">
        <f>IF($AF$42-21&lt;0,,MONTH($AA$6+188))</f>
        <v>12</v>
      </c>
      <c r="Y39" s="20">
        <f>IF($AF$42-22&lt;0,,MONTH($AA$6+189))</f>
        <v>12</v>
      </c>
      <c r="Z39" s="20">
        <f>IF($AF$42-23&lt;0,,MONTH($AA$6+190))</f>
        <v>12</v>
      </c>
      <c r="AA39" s="20">
        <f>IF($AF$42-24&lt;0,,MONTH($AA$6+191))</f>
        <v>12</v>
      </c>
      <c r="AB39" s="20">
        <f>IF($AF$42-25&lt;0,,MONTH($AA$6+192))</f>
        <v>12</v>
      </c>
      <c r="AC39" s="20">
        <f>IF($AF$42-26&lt;0,,MONTH($AA$6+193))</f>
        <v>12</v>
      </c>
      <c r="AD39" s="20">
        <f>IF($AF$42-27&lt;0,,MONTH($AA$6+194))</f>
        <v>12</v>
      </c>
      <c r="AE39" s="20">
        <f>IF($AF$42-28&lt;0,,MONTH($AA$6+195))</f>
        <v>12</v>
      </c>
      <c r="AF39" s="55" t="s">
        <v>39</v>
      </c>
      <c r="AG39" s="56"/>
      <c r="AH39" s="56"/>
      <c r="AI39" s="56"/>
      <c r="AJ39" s="56"/>
      <c r="AK39" s="56"/>
      <c r="AL39" s="56"/>
      <c r="AM39" s="57"/>
      <c r="AN39" s="58" t="s">
        <v>5</v>
      </c>
      <c r="AO39" s="58"/>
    </row>
    <row r="40" spans="2:41" ht="24" x14ac:dyDescent="0.4">
      <c r="B40" s="40"/>
      <c r="C40" s="18" t="s">
        <v>11</v>
      </c>
      <c r="D40" s="20">
        <f>IF($AF$42-1&lt;0,,DAY($AA$6+168))</f>
        <v>25</v>
      </c>
      <c r="E40" s="20">
        <f>IF($AF$42-2&lt;0,,DAY($AA$6+169))</f>
        <v>26</v>
      </c>
      <c r="F40" s="20">
        <f>IF($AF$42-3&lt;0,,DAY($AA$6+170))</f>
        <v>27</v>
      </c>
      <c r="G40" s="20">
        <f>IF($AF$42-4&lt;0,,DAY($AA$6+171))</f>
        <v>28</v>
      </c>
      <c r="H40" s="20">
        <f>IF($AF$42-5&lt;0,,DAY($AA$6+172))</f>
        <v>29</v>
      </c>
      <c r="I40" s="20">
        <f>IF($AF$42-6&lt;0,,DAY($AA$6+173))</f>
        <v>30</v>
      </c>
      <c r="J40" s="20">
        <f>IF($AF$42-7&lt;0,,DAY($AA$6+174))</f>
        <v>1</v>
      </c>
      <c r="K40" s="20">
        <f>IF($AF$42-8&lt;0,,DAY($AA$6+175))</f>
        <v>2</v>
      </c>
      <c r="L40" s="20">
        <f>IF($AF$42-9&lt;0,,DAY($AA$6+176))</f>
        <v>3</v>
      </c>
      <c r="M40" s="20">
        <f>IF($AF$42-10&lt;0,,DAY($AA$6+177))</f>
        <v>4</v>
      </c>
      <c r="N40" s="20">
        <f>IF($AF$42-11&lt;0,,DAY($AA$6+178))</f>
        <v>5</v>
      </c>
      <c r="O40" s="20">
        <f>IF($AF$42-12&lt;0,,DAY($AA$6+179))</f>
        <v>6</v>
      </c>
      <c r="P40" s="20">
        <f>IF($AF$42-13&lt;0,,DAY($AA$6+180))</f>
        <v>7</v>
      </c>
      <c r="Q40" s="20">
        <f>IF($AF$42-14&lt;0,,DAY($AA$6+181))</f>
        <v>8</v>
      </c>
      <c r="R40" s="20">
        <f>IF($AF$42-15&lt;0,,DAY($AA$6+182))</f>
        <v>9</v>
      </c>
      <c r="S40" s="20">
        <f>IF($AF$42-16&lt;0,,DAY($AA$6+183))</f>
        <v>10</v>
      </c>
      <c r="T40" s="20">
        <f>IF($AF$42-17&lt;0,,DAY($AA$6+184))</f>
        <v>11</v>
      </c>
      <c r="U40" s="20">
        <f>IF($AF$42-18&lt;0,,DAY($AA$6+185))</f>
        <v>12</v>
      </c>
      <c r="V40" s="20">
        <f>IF($AF$42-19&lt;0,,DAY($AA$6+186))</f>
        <v>13</v>
      </c>
      <c r="W40" s="20">
        <f>IF($AF$42-20&lt;0,,DAY($AA$6+187))</f>
        <v>14</v>
      </c>
      <c r="X40" s="20">
        <f>IF($AF$42-21&lt;0,,DAY($AA$6+188))</f>
        <v>15</v>
      </c>
      <c r="Y40" s="20">
        <f>IF($AF$42-22&lt;0,,DAY($AA$6+189))</f>
        <v>16</v>
      </c>
      <c r="Z40" s="20">
        <f>IF($AF$42-23&lt;0,,DAY($AA$6+190))</f>
        <v>17</v>
      </c>
      <c r="AA40" s="20">
        <f>IF($AF$42-24&lt;0,,DAY($AA$6+191))</f>
        <v>18</v>
      </c>
      <c r="AB40" s="20">
        <f>IF($AF$42-25&lt;0,,DAY($AA$6+192))</f>
        <v>19</v>
      </c>
      <c r="AC40" s="20">
        <f>IF($AF$42-26&lt;0,,DAY($AA$6+193))</f>
        <v>20</v>
      </c>
      <c r="AD40" s="20">
        <f>IF($AF$42-27&lt;0,,DAY($AA$6+194))</f>
        <v>21</v>
      </c>
      <c r="AE40" s="20">
        <f>IF($AF$42-28&lt;0,,DAY($AA$6+195))</f>
        <v>22</v>
      </c>
      <c r="AF40" s="26"/>
      <c r="AG40" s="27"/>
      <c r="AH40" s="47" t="s">
        <v>14</v>
      </c>
      <c r="AI40" s="48"/>
      <c r="AJ40" s="48"/>
      <c r="AK40" s="48"/>
      <c r="AL40" s="48"/>
      <c r="AM40" s="49"/>
      <c r="AN40" s="46"/>
      <c r="AO40" s="46"/>
    </row>
    <row r="41" spans="2:41" ht="24" x14ac:dyDescent="0.4">
      <c r="B41" s="40"/>
      <c r="C41" s="18" t="s">
        <v>16</v>
      </c>
      <c r="D41" s="18" t="str" cm="1">
        <f t="array" ref="D41">IF(D40&gt;0,_xlfn.SWITCH(AE36,"月","火","火","水","水","木","木","金","金","土","土","日","日","月"),"")</f>
        <v>水</v>
      </c>
      <c r="E41" s="18" t="str" cm="1">
        <f t="array" ref="E41">IF(E40&gt;0,_xlfn.SWITCH(D41,"月","火","火","水","水","木","木","金","金","土","土","日","日","月"),"")</f>
        <v>木</v>
      </c>
      <c r="F41" s="18" t="str" cm="1">
        <f t="array" ref="F41">IF(F40&gt;0,_xlfn.SWITCH(E41,"月","火","火","水","水","木","木","金","金","土","土","日","日","月"),"")</f>
        <v>金</v>
      </c>
      <c r="G41" s="18" t="str" cm="1">
        <f t="array" ref="G41">IF(G40&gt;0,_xlfn.SWITCH(F41,"月","火","火","水","水","木","木","金","金","土","土","日","日","月"),"")</f>
        <v>土</v>
      </c>
      <c r="H41" s="18" t="str" cm="1">
        <f t="array" ref="H41">IF(H40&gt;0,_xlfn.SWITCH(G41,"月","火","火","水","水","木","木","金","金","土","土","日","日","月"),"")</f>
        <v>日</v>
      </c>
      <c r="I41" s="18" t="str" cm="1">
        <f t="array" ref="I41">IF(I40&gt;0,_xlfn.SWITCH(H41,"月","火","火","水","水","木","木","金","金","土","土","日","日","月"),"")</f>
        <v>月</v>
      </c>
      <c r="J41" s="18" t="str" cm="1">
        <f t="array" ref="J41">IF(J40&gt;0,_xlfn.SWITCH(I41,"月","火","火","水","水","木","木","金","金","土","土","日","日","月"),"")</f>
        <v>火</v>
      </c>
      <c r="K41" s="18" t="str" cm="1">
        <f t="array" ref="K41">IF(K40&gt;0,_xlfn.SWITCH(J41,"月","火","火","水","水","木","木","金","金","土","土","日","日","月"),"")</f>
        <v>水</v>
      </c>
      <c r="L41" s="18" t="str" cm="1">
        <f t="array" ref="L41">IF(L40&gt;0,_xlfn.SWITCH(K41,"月","火","火","水","水","木","木","金","金","土","土","日","日","月"),"")</f>
        <v>木</v>
      </c>
      <c r="M41" s="18" t="str" cm="1">
        <f t="array" ref="M41">IF(M40&gt;0,_xlfn.SWITCH(L41,"月","火","火","水","水","木","木","金","金","土","土","日","日","月"),"")</f>
        <v>金</v>
      </c>
      <c r="N41" s="18" t="str" cm="1">
        <f t="array" ref="N41">IF(N40&gt;0,_xlfn.SWITCH(M41,"月","火","火","水","水","木","木","金","金","土","土","日","日","月"),"")</f>
        <v>土</v>
      </c>
      <c r="O41" s="18" t="str" cm="1">
        <f t="array" ref="O41">IF(O40&gt;0,_xlfn.SWITCH(N41,"月","火","火","水","水","木","木","金","金","土","土","日","日","月"),"")</f>
        <v>日</v>
      </c>
      <c r="P41" s="18" t="str" cm="1">
        <f t="array" ref="P41">IF(P40&gt;0,_xlfn.SWITCH(O41,"月","火","火","水","水","木","木","金","金","土","土","日","日","月"),"")</f>
        <v>月</v>
      </c>
      <c r="Q41" s="18" t="str" cm="1">
        <f t="array" ref="Q41">IF(Q40&gt;0,_xlfn.SWITCH(P41,"月","火","火","水","水","木","木","金","金","土","土","日","日","月"),"")</f>
        <v>火</v>
      </c>
      <c r="R41" s="18" t="str" cm="1">
        <f t="array" ref="R41">IF(R40&gt;0,_xlfn.SWITCH(Q41,"月","火","火","水","水","木","木","金","金","土","土","日","日","月"),"")</f>
        <v>水</v>
      </c>
      <c r="S41" s="18" t="str" cm="1">
        <f t="array" ref="S41">IF(S40&gt;0,_xlfn.SWITCH(R41,"月","火","火","水","水","木","木","金","金","土","土","日","日","月"),"")</f>
        <v>木</v>
      </c>
      <c r="T41" s="18" t="str" cm="1">
        <f t="array" ref="T41">IF(T40&gt;0,_xlfn.SWITCH(S41,"月","火","火","水","水","木","木","金","金","土","土","日","日","月"),"")</f>
        <v>金</v>
      </c>
      <c r="U41" s="18" t="str" cm="1">
        <f t="array" ref="U41">IF(U40&gt;0,_xlfn.SWITCH(T41,"月","火","火","水","水","木","木","金","金","土","土","日","日","月"),"")</f>
        <v>土</v>
      </c>
      <c r="V41" s="18" t="str" cm="1">
        <f t="array" ref="V41">IF(V40&gt;0,_xlfn.SWITCH(U41,"月","火","火","水","水","木","木","金","金","土","土","日","日","月"),"")</f>
        <v>日</v>
      </c>
      <c r="W41" s="18" t="str" cm="1">
        <f t="array" ref="W41">IF(W40&gt;0,_xlfn.SWITCH(V41,"月","火","火","水","水","木","木","金","金","土","土","日","日","月"),"")</f>
        <v>月</v>
      </c>
      <c r="X41" s="18" t="str" cm="1">
        <f t="array" ref="X41">IF(X40&gt;0,_xlfn.SWITCH(W41,"月","火","火","水","水","木","木","金","金","土","土","日","日","月"),"")</f>
        <v>火</v>
      </c>
      <c r="Y41" s="18" t="str" cm="1">
        <f t="array" ref="Y41">IF(Y40&gt;0,_xlfn.SWITCH(X41,"月","火","火","水","水","木","木","金","金","土","土","日","日","月"),"")</f>
        <v>水</v>
      </c>
      <c r="Z41" s="18" t="str" cm="1">
        <f t="array" ref="Z41">IF(Z40&gt;0,_xlfn.SWITCH(Y41,"月","火","火","水","水","木","木","金","金","土","土","日","日","月"),"")</f>
        <v>木</v>
      </c>
      <c r="AA41" s="18" t="str" cm="1">
        <f t="array" ref="AA41">IF(AA40&gt;0,_xlfn.SWITCH(Z41,"月","火","火","水","水","木","木","金","金","土","土","日","日","月"),"")</f>
        <v>金</v>
      </c>
      <c r="AB41" s="18" t="str" cm="1">
        <f t="array" ref="AB41">IF(AB40&gt;0,_xlfn.SWITCH(AA41,"月","火","火","水","水","木","木","金","金","土","土","日","日","月"),"")</f>
        <v>土</v>
      </c>
      <c r="AC41" s="18" t="str" cm="1">
        <f t="array" ref="AC41">IF(AC40&gt;0,_xlfn.SWITCH(AB41,"月","火","火","水","水","木","木","金","金","土","土","日","日","月"),"")</f>
        <v>日</v>
      </c>
      <c r="AD41" s="18" t="str" cm="1">
        <f t="array" ref="AD41">IF(AD40&gt;0,_xlfn.SWITCH(AC41,"月","火","火","水","水","木","木","金","金","土","土","日","日","月"),"")</f>
        <v>月</v>
      </c>
      <c r="AE41" s="18" t="str" cm="1">
        <f t="array" ref="AE41">IF(AE40&gt;0,_xlfn.SWITCH(AD41,"月","火","火","水","水","木","木","金","金","土","土","日","日","月"),"")</f>
        <v>火</v>
      </c>
      <c r="AF41" s="28"/>
      <c r="AG41" s="7"/>
      <c r="AH41" s="11"/>
      <c r="AI41" s="7"/>
      <c r="AJ41" s="50" t="s">
        <v>12</v>
      </c>
      <c r="AK41" s="51"/>
      <c r="AL41" s="51"/>
      <c r="AM41" s="52"/>
      <c r="AN41" s="46"/>
      <c r="AO41" s="46"/>
    </row>
    <row r="42" spans="2:41" ht="24" x14ac:dyDescent="0.4">
      <c r="B42" s="40"/>
      <c r="C42" s="15" t="s">
        <v>0</v>
      </c>
      <c r="D42" s="10"/>
      <c r="E42" s="10"/>
      <c r="F42" s="10"/>
      <c r="G42" s="10" t="s">
        <v>2</v>
      </c>
      <c r="H42" s="10" t="s">
        <v>2</v>
      </c>
      <c r="I42" s="10"/>
      <c r="J42" s="10"/>
      <c r="K42" s="10"/>
      <c r="L42" s="10"/>
      <c r="M42" s="10"/>
      <c r="N42" s="10" t="s">
        <v>2</v>
      </c>
      <c r="O42" s="10" t="s">
        <v>2</v>
      </c>
      <c r="P42" s="10"/>
      <c r="Q42" s="10"/>
      <c r="R42" s="10"/>
      <c r="S42" s="10"/>
      <c r="T42" s="10"/>
      <c r="U42" s="10" t="s">
        <v>2</v>
      </c>
      <c r="V42" s="10" t="s">
        <v>2</v>
      </c>
      <c r="W42" s="10"/>
      <c r="X42" s="10"/>
      <c r="Y42" s="10"/>
      <c r="Z42" s="10"/>
      <c r="AA42" s="10"/>
      <c r="AB42" s="10" t="s">
        <v>2</v>
      </c>
      <c r="AC42" s="10" t="s">
        <v>2</v>
      </c>
      <c r="AD42" s="10"/>
      <c r="AE42" s="10"/>
      <c r="AF42" s="31">
        <f>IF(_xlfn.DAYS(AI6,AA6)+1-168&gt;=28,28,IF(_xlfn.DAYS(AI6,AA6)+1-168&lt;0,0,_xlfn.DAYS(AI6,AA6)+1-168))</f>
        <v>28</v>
      </c>
      <c r="AG42" s="33"/>
      <c r="AH42" s="53">
        <f>AF42-COUNTIF(D42:AE42,"×")</f>
        <v>28</v>
      </c>
      <c r="AI42" s="54"/>
      <c r="AJ42" s="31">
        <f>COUNTIF(D42:AE42,"●")</f>
        <v>8</v>
      </c>
      <c r="AK42" s="32"/>
      <c r="AL42" s="32"/>
      <c r="AM42" s="33"/>
      <c r="AN42" s="34">
        <f>AJ42/AH42</f>
        <v>0.2857142857142857</v>
      </c>
      <c r="AO42" s="34"/>
    </row>
    <row r="43" spans="2:41" ht="24.75" thickBot="1" x14ac:dyDescent="0.45">
      <c r="B43" s="41"/>
      <c r="C43" s="12" t="s">
        <v>1</v>
      </c>
      <c r="D43" s="8"/>
      <c r="E43" s="8"/>
      <c r="F43" s="8"/>
      <c r="G43" s="8" t="s">
        <v>2</v>
      </c>
      <c r="H43" s="8" t="s">
        <v>2</v>
      </c>
      <c r="I43" s="8"/>
      <c r="J43" s="8"/>
      <c r="K43" s="8"/>
      <c r="L43" s="8"/>
      <c r="M43" s="8"/>
      <c r="N43" s="8" t="s">
        <v>2</v>
      </c>
      <c r="O43" s="8" t="s">
        <v>2</v>
      </c>
      <c r="P43" s="8"/>
      <c r="Q43" s="8"/>
      <c r="R43" s="8"/>
      <c r="S43" s="8"/>
      <c r="T43" s="8"/>
      <c r="U43" s="8" t="s">
        <v>2</v>
      </c>
      <c r="V43" s="8" t="s">
        <v>2</v>
      </c>
      <c r="W43" s="8"/>
      <c r="X43" s="8"/>
      <c r="Y43" s="8"/>
      <c r="Z43" s="8"/>
      <c r="AA43" s="8"/>
      <c r="AB43" s="8" t="s">
        <v>2</v>
      </c>
      <c r="AC43" s="8" t="s">
        <v>2</v>
      </c>
      <c r="AD43" s="8"/>
      <c r="AE43" s="8"/>
      <c r="AF43" s="35">
        <f>IF(_xlfn.DAYS(AI6,AA6)+1-168&gt;=28,28,IF(_xlfn.DAYS(AI6,AA6)+1-168&lt;0,0,_xlfn.DAYS(AI6,AA6)+1-168))</f>
        <v>28</v>
      </c>
      <c r="AG43" s="36"/>
      <c r="AH43" s="35">
        <f>AF43-COUNTIF(D43:AE43,"×")</f>
        <v>28</v>
      </c>
      <c r="AI43" s="36"/>
      <c r="AJ43" s="35">
        <f>COUNTIF(D43:AE43,"●")</f>
        <v>8</v>
      </c>
      <c r="AK43" s="37"/>
      <c r="AL43" s="37"/>
      <c r="AM43" s="36"/>
      <c r="AN43" s="38">
        <f>AJ43/AH43</f>
        <v>0.2857142857142857</v>
      </c>
      <c r="AO43" s="38"/>
    </row>
    <row r="44" spans="2:41" ht="24" x14ac:dyDescent="0.4">
      <c r="B44" s="40" t="s">
        <v>26</v>
      </c>
      <c r="C44" s="16" t="s">
        <v>15</v>
      </c>
      <c r="D44" s="20">
        <f>IF($AF$47-1&lt;0,,MONTH($AA$6+196))</f>
        <v>12</v>
      </c>
      <c r="E44" s="20">
        <f>IF($AF$47-2&lt;0,,MONTH($AA$6+197))</f>
        <v>12</v>
      </c>
      <c r="F44" s="20">
        <f>IF($AF$47-3&lt;0,,MONTH($AA$6+198))</f>
        <v>12</v>
      </c>
      <c r="G44" s="20">
        <f>IF($AF$47-4&lt;0,,MONTH($AA$6+199))</f>
        <v>12</v>
      </c>
      <c r="H44" s="20">
        <f>IF($AF$47-5&lt;0,,MONTH($AA$6+200))</f>
        <v>12</v>
      </c>
      <c r="I44" s="20">
        <f>IF($AF$47-6&lt;0,,MONTH($AA$6+201))</f>
        <v>12</v>
      </c>
      <c r="J44" s="20">
        <f>IF($AF$47-7&lt;0,,MONTH($AA$6+202))</f>
        <v>12</v>
      </c>
      <c r="K44" s="20">
        <f>IF($AF$47-8&lt;0,,MONTH($AA$6+203))</f>
        <v>12</v>
      </c>
      <c r="L44" s="20">
        <f>IF($AF$47-9&lt;0,,MONTH($AA$6+204))</f>
        <v>12</v>
      </c>
      <c r="M44" s="20">
        <f>IF($AF$47-10&lt;0,,MONTH($AA$6+205))</f>
        <v>1</v>
      </c>
      <c r="N44" s="20">
        <f>IF($AF$47-11&lt;0,,MONTH($AA$6+206))</f>
        <v>1</v>
      </c>
      <c r="O44" s="20">
        <f>IF($AF$47-12&lt;0,,MONTH($AA$6+207))</f>
        <v>1</v>
      </c>
      <c r="P44" s="20">
        <f>IF($AF$47-13&lt;0,,MONTH($AA$6+208))</f>
        <v>1</v>
      </c>
      <c r="Q44" s="20">
        <f>IF($AF$47-14&lt;0,,MONTH($AA$6+209))</f>
        <v>1</v>
      </c>
      <c r="R44" s="20">
        <f>IF($AF$47-15&lt;0,,MONTH($AA$6+210))</f>
        <v>1</v>
      </c>
      <c r="S44" s="20">
        <f>IF($AF$47-16&lt;0,,MONTH($AA$6+211))</f>
        <v>1</v>
      </c>
      <c r="T44" s="20">
        <f>IF($AF$47-17&lt;0,,MONTH($AA$6+212))</f>
        <v>1</v>
      </c>
      <c r="U44" s="20">
        <f>IF($AF$47-18&lt;0,,MONTH($AA$6+213))</f>
        <v>1</v>
      </c>
      <c r="V44" s="20">
        <f>IF($AF$47-19&lt;0,,MONTH($AA$6+214))</f>
        <v>1</v>
      </c>
      <c r="W44" s="20">
        <f>IF($AF$47-20&lt;0,,MONTH($AA$6+215))</f>
        <v>1</v>
      </c>
      <c r="X44" s="20">
        <f>IF($AF$47-21&lt;0,,MONTH($AA$6+216))</f>
        <v>1</v>
      </c>
      <c r="Y44" s="20">
        <f>IF($AF$47-22&lt;0,,MONTH($AA$6+217))</f>
        <v>1</v>
      </c>
      <c r="Z44" s="20">
        <f>IF($AF$47-23&lt;0,,MONTH($AA$6+218))</f>
        <v>1</v>
      </c>
      <c r="AA44" s="20">
        <f>IF($AF$47-24&lt;0,,MONTH($AA$6+219))</f>
        <v>1</v>
      </c>
      <c r="AB44" s="20">
        <f>IF($AF$47-25&lt;0,,MONTH($AA$6+220))</f>
        <v>1</v>
      </c>
      <c r="AC44" s="20">
        <f>IF($AF$47-26&lt;0,,MONTH($AA$6+221))</f>
        <v>1</v>
      </c>
      <c r="AD44" s="20">
        <f>IF($AF$47-27&lt;0,,MONTH($AA$6+222))</f>
        <v>1</v>
      </c>
      <c r="AE44" s="20">
        <f>IF($AF$47-28&lt;0,,MONTH($AA$6+223))</f>
        <v>1</v>
      </c>
      <c r="AF44" s="55" t="s">
        <v>39</v>
      </c>
      <c r="AG44" s="56"/>
      <c r="AH44" s="56"/>
      <c r="AI44" s="56"/>
      <c r="AJ44" s="56"/>
      <c r="AK44" s="56"/>
      <c r="AL44" s="56"/>
      <c r="AM44" s="57"/>
      <c r="AN44" s="58" t="s">
        <v>5</v>
      </c>
      <c r="AO44" s="58"/>
    </row>
    <row r="45" spans="2:41" ht="24" x14ac:dyDescent="0.4">
      <c r="B45" s="40"/>
      <c r="C45" s="18" t="s">
        <v>11</v>
      </c>
      <c r="D45" s="20">
        <f>IF($AF$47-1&lt;0,,DAY($AA$6+196))</f>
        <v>23</v>
      </c>
      <c r="E45" s="20">
        <f>IF($AF$47-2&lt;0,,DAY($AA$6+197))</f>
        <v>24</v>
      </c>
      <c r="F45" s="20">
        <f>IF($AF$47-3&lt;0,,DAY($AA$6+198))</f>
        <v>25</v>
      </c>
      <c r="G45" s="20">
        <f>IF($AF$47-4&lt;0,,DAY($AA$6+199))</f>
        <v>26</v>
      </c>
      <c r="H45" s="20">
        <f>IF($AF$47-5&lt;0,,DAY($AA$6+200))</f>
        <v>27</v>
      </c>
      <c r="I45" s="20">
        <f>IF($AF$47-6&lt;0,,DAY($AA$6+201))</f>
        <v>28</v>
      </c>
      <c r="J45" s="20">
        <f>IF($AF$47-7&lt;0,,DAY($AA$6+202))</f>
        <v>29</v>
      </c>
      <c r="K45" s="20">
        <f>IF($AF$47-8&lt;0,,DAY($AA$6+203))</f>
        <v>30</v>
      </c>
      <c r="L45" s="20">
        <f>IF($AF$47-9&lt;0,,DAY($AA$6+204))</f>
        <v>31</v>
      </c>
      <c r="M45" s="20">
        <f>IF($AF$47-10&lt;0,,DAY($AA$6+205))</f>
        <v>1</v>
      </c>
      <c r="N45" s="20">
        <f>IF($AF$47-11&lt;0,,DAY($AA$6+206))</f>
        <v>2</v>
      </c>
      <c r="O45" s="20">
        <f>IF($AF$47-12&lt;0,,DAY($AA$6+207))</f>
        <v>3</v>
      </c>
      <c r="P45" s="20">
        <f>IF($AF$47-13&lt;0,,DAY($AA$6+208))</f>
        <v>4</v>
      </c>
      <c r="Q45" s="20">
        <f>IF($AF$47-14&lt;0,,DAY($AA$6+209))</f>
        <v>5</v>
      </c>
      <c r="R45" s="20">
        <f>IF($AF$47-15&lt;0,,DAY($AA$6+210))</f>
        <v>6</v>
      </c>
      <c r="S45" s="20">
        <f>IF($AF$47-16&lt;0,,DAY($AA$6+211))</f>
        <v>7</v>
      </c>
      <c r="T45" s="20">
        <f>IF($AF$47-17&lt;0,,DAY($AA$6+212))</f>
        <v>8</v>
      </c>
      <c r="U45" s="20">
        <f>IF($AF$47-18&lt;0,,DAY($AA$6+213))</f>
        <v>9</v>
      </c>
      <c r="V45" s="20">
        <f>IF($AF$47-19&lt;0,,DAY($AA$6+214))</f>
        <v>10</v>
      </c>
      <c r="W45" s="20">
        <f>IF($AF$47-20&lt;0,,DAY($AA$6+215))</f>
        <v>11</v>
      </c>
      <c r="X45" s="20">
        <f>IF($AF$47-21&lt;0,,DAY($AA$6+216))</f>
        <v>12</v>
      </c>
      <c r="Y45" s="20">
        <f>IF($AF$47-22&lt;0,,DAY($AA$6+217))</f>
        <v>13</v>
      </c>
      <c r="Z45" s="20">
        <f>IF($AF$47-23&lt;0,,DAY($AA$6+218))</f>
        <v>14</v>
      </c>
      <c r="AA45" s="20">
        <f>IF($AF$47-24&lt;0,,DAY($AA$6+219))</f>
        <v>15</v>
      </c>
      <c r="AB45" s="20">
        <f>IF($AF$47-25&lt;0,,DAY($AA$6+220))</f>
        <v>16</v>
      </c>
      <c r="AC45" s="20">
        <f>IF($AF$47-26&lt;0,,DAY($AA$6+221))</f>
        <v>17</v>
      </c>
      <c r="AD45" s="20">
        <f>IF($AF$47-27&lt;0,,DAY($AA$6+222))</f>
        <v>18</v>
      </c>
      <c r="AE45" s="20">
        <f>IF($AF$47-28&lt;0,,DAY($AA$6+223))</f>
        <v>19</v>
      </c>
      <c r="AF45" s="26"/>
      <c r="AG45" s="27"/>
      <c r="AH45" s="47" t="s">
        <v>14</v>
      </c>
      <c r="AI45" s="48"/>
      <c r="AJ45" s="48"/>
      <c r="AK45" s="48"/>
      <c r="AL45" s="48"/>
      <c r="AM45" s="49"/>
      <c r="AN45" s="46"/>
      <c r="AO45" s="46"/>
    </row>
    <row r="46" spans="2:41" ht="24" x14ac:dyDescent="0.4">
      <c r="B46" s="40"/>
      <c r="C46" s="18" t="s">
        <v>16</v>
      </c>
      <c r="D46" s="18" t="str" cm="1">
        <f t="array" ref="D46">IF(D45&gt;0,_xlfn.SWITCH(AE41,"月","火","火","水","水","木","木","金","金","土","土","日","日","月"),"")</f>
        <v>水</v>
      </c>
      <c r="E46" s="18" t="str" cm="1">
        <f t="array" ref="E46">IF(E45&gt;0,_xlfn.SWITCH(D46,"月","火","火","水","水","木","木","金","金","土","土","日","日","月"),"")</f>
        <v>木</v>
      </c>
      <c r="F46" s="18" t="str" cm="1">
        <f t="array" ref="F46">IF(F45&gt;0,_xlfn.SWITCH(E46,"月","火","火","水","水","木","木","金","金","土","土","日","日","月"),"")</f>
        <v>金</v>
      </c>
      <c r="G46" s="18" t="str" cm="1">
        <f t="array" ref="G46">IF(G45&gt;0,_xlfn.SWITCH(F46,"月","火","火","水","水","木","木","金","金","土","土","日","日","月"),"")</f>
        <v>土</v>
      </c>
      <c r="H46" s="18" t="str" cm="1">
        <f t="array" ref="H46">IF(H45&gt;0,_xlfn.SWITCH(G46,"月","火","火","水","水","木","木","金","金","土","土","日","日","月"),"")</f>
        <v>日</v>
      </c>
      <c r="I46" s="18" t="str" cm="1">
        <f t="array" ref="I46">IF(I45&gt;0,_xlfn.SWITCH(H46,"月","火","火","水","水","木","木","金","金","土","土","日","日","月"),"")</f>
        <v>月</v>
      </c>
      <c r="J46" s="18" t="str" cm="1">
        <f t="array" ref="J46">IF(J45&gt;0,_xlfn.SWITCH(I46,"月","火","火","水","水","木","木","金","金","土","土","日","日","月"),"")</f>
        <v>火</v>
      </c>
      <c r="K46" s="18" t="str" cm="1">
        <f t="array" ref="K46">IF(K45&gt;0,_xlfn.SWITCH(J46,"月","火","火","水","水","木","木","金","金","土","土","日","日","月"),"")</f>
        <v>水</v>
      </c>
      <c r="L46" s="18" t="str" cm="1">
        <f t="array" ref="L46">IF(L45&gt;0,_xlfn.SWITCH(K46,"月","火","火","水","水","木","木","金","金","土","土","日","日","月"),"")</f>
        <v>木</v>
      </c>
      <c r="M46" s="18" t="str" cm="1">
        <f t="array" ref="M46">IF(M45&gt;0,_xlfn.SWITCH(L46,"月","火","火","水","水","木","木","金","金","土","土","日","日","月"),"")</f>
        <v>金</v>
      </c>
      <c r="N46" s="18" t="str" cm="1">
        <f t="array" ref="N46">IF(N45&gt;0,_xlfn.SWITCH(M46,"月","火","火","水","水","木","木","金","金","土","土","日","日","月"),"")</f>
        <v>土</v>
      </c>
      <c r="O46" s="18" t="str" cm="1">
        <f t="array" ref="O46">IF(O45&gt;0,_xlfn.SWITCH(N46,"月","火","火","水","水","木","木","金","金","土","土","日","日","月"),"")</f>
        <v>日</v>
      </c>
      <c r="P46" s="18" t="str" cm="1">
        <f t="array" ref="P46">IF(P45&gt;0,_xlfn.SWITCH(O46,"月","火","火","水","水","木","木","金","金","土","土","日","日","月"),"")</f>
        <v>月</v>
      </c>
      <c r="Q46" s="18" t="str" cm="1">
        <f t="array" ref="Q46">IF(Q45&gt;0,_xlfn.SWITCH(P46,"月","火","火","水","水","木","木","金","金","土","土","日","日","月"),"")</f>
        <v>火</v>
      </c>
      <c r="R46" s="18" t="str" cm="1">
        <f t="array" ref="R46">IF(R45&gt;0,_xlfn.SWITCH(Q46,"月","火","火","水","水","木","木","金","金","土","土","日","日","月"),"")</f>
        <v>水</v>
      </c>
      <c r="S46" s="18" t="str" cm="1">
        <f t="array" ref="S46">IF(S45&gt;0,_xlfn.SWITCH(R46,"月","火","火","水","水","木","木","金","金","土","土","日","日","月"),"")</f>
        <v>木</v>
      </c>
      <c r="T46" s="18" t="str" cm="1">
        <f t="array" ref="T46">IF(T45&gt;0,_xlfn.SWITCH(S46,"月","火","火","水","水","木","木","金","金","土","土","日","日","月"),"")</f>
        <v>金</v>
      </c>
      <c r="U46" s="18" t="str" cm="1">
        <f t="array" ref="U46">IF(U45&gt;0,_xlfn.SWITCH(T46,"月","火","火","水","水","木","木","金","金","土","土","日","日","月"),"")</f>
        <v>土</v>
      </c>
      <c r="V46" s="18" t="str" cm="1">
        <f t="array" ref="V46">IF(V45&gt;0,_xlfn.SWITCH(U46,"月","火","火","水","水","木","木","金","金","土","土","日","日","月"),"")</f>
        <v>日</v>
      </c>
      <c r="W46" s="18" t="str" cm="1">
        <f t="array" ref="W46">IF(W45&gt;0,_xlfn.SWITCH(V46,"月","火","火","水","水","木","木","金","金","土","土","日","日","月"),"")</f>
        <v>月</v>
      </c>
      <c r="X46" s="18" t="str" cm="1">
        <f t="array" ref="X46">IF(X45&gt;0,_xlfn.SWITCH(W46,"月","火","火","水","水","木","木","金","金","土","土","日","日","月"),"")</f>
        <v>火</v>
      </c>
      <c r="Y46" s="18" t="str" cm="1">
        <f t="array" ref="Y46">IF(Y45&gt;0,_xlfn.SWITCH(X46,"月","火","火","水","水","木","木","金","金","土","土","日","日","月"),"")</f>
        <v>水</v>
      </c>
      <c r="Z46" s="18" t="str" cm="1">
        <f t="array" ref="Z46">IF(Z45&gt;0,_xlfn.SWITCH(Y46,"月","火","火","水","水","木","木","金","金","土","土","日","日","月"),"")</f>
        <v>木</v>
      </c>
      <c r="AA46" s="18" t="str" cm="1">
        <f t="array" ref="AA46">IF(AA45&gt;0,_xlfn.SWITCH(Z46,"月","火","火","水","水","木","木","金","金","土","土","日","日","月"),"")</f>
        <v>金</v>
      </c>
      <c r="AB46" s="18" t="str" cm="1">
        <f t="array" ref="AB46">IF(AB45&gt;0,_xlfn.SWITCH(AA46,"月","火","火","水","水","木","木","金","金","土","土","日","日","月"),"")</f>
        <v>土</v>
      </c>
      <c r="AC46" s="18" t="str" cm="1">
        <f t="array" ref="AC46">IF(AC45&gt;0,_xlfn.SWITCH(AB46,"月","火","火","水","水","木","木","金","金","土","土","日","日","月"),"")</f>
        <v>日</v>
      </c>
      <c r="AD46" s="18" t="str" cm="1">
        <f t="array" ref="AD46">IF(AD45&gt;0,_xlfn.SWITCH(AC46,"月","火","火","水","水","木","木","金","金","土","土","日","日","月"),"")</f>
        <v>月</v>
      </c>
      <c r="AE46" s="18" t="str" cm="1">
        <f t="array" ref="AE46">IF(AE45&gt;0,_xlfn.SWITCH(AD46,"月","火","火","水","水","木","木","金","金","土","土","日","日","月"),"")</f>
        <v>火</v>
      </c>
      <c r="AF46" s="28"/>
      <c r="AG46" s="7"/>
      <c r="AH46" s="11"/>
      <c r="AI46" s="7"/>
      <c r="AJ46" s="50" t="s">
        <v>12</v>
      </c>
      <c r="AK46" s="51"/>
      <c r="AL46" s="51"/>
      <c r="AM46" s="52"/>
      <c r="AN46" s="46"/>
      <c r="AO46" s="46"/>
    </row>
    <row r="47" spans="2:41" ht="24" x14ac:dyDescent="0.4">
      <c r="B47" s="40"/>
      <c r="C47" s="15" t="s">
        <v>0</v>
      </c>
      <c r="D47" s="10"/>
      <c r="E47" s="10"/>
      <c r="F47" s="10"/>
      <c r="G47" s="10" t="s">
        <v>2</v>
      </c>
      <c r="H47" s="10" t="s">
        <v>2</v>
      </c>
      <c r="I47" s="10"/>
      <c r="J47" s="10" t="s">
        <v>3</v>
      </c>
      <c r="K47" s="10" t="s">
        <v>3</v>
      </c>
      <c r="L47" s="10" t="s">
        <v>3</v>
      </c>
      <c r="M47" s="10" t="s">
        <v>3</v>
      </c>
      <c r="N47" s="10" t="s">
        <v>3</v>
      </c>
      <c r="O47" s="10" t="s">
        <v>3</v>
      </c>
      <c r="P47" s="10"/>
      <c r="Q47" s="10"/>
      <c r="R47" s="10"/>
      <c r="S47" s="10"/>
      <c r="T47" s="10"/>
      <c r="U47" s="10" t="s">
        <v>2</v>
      </c>
      <c r="V47" s="10" t="s">
        <v>2</v>
      </c>
      <c r="W47" s="10"/>
      <c r="X47" s="10"/>
      <c r="Y47" s="10"/>
      <c r="Z47" s="10"/>
      <c r="AA47" s="10"/>
      <c r="AB47" s="10" t="s">
        <v>2</v>
      </c>
      <c r="AC47" s="10" t="s">
        <v>2</v>
      </c>
      <c r="AD47" s="10"/>
      <c r="AE47" s="10"/>
      <c r="AF47" s="31">
        <f>IF(_xlfn.DAYS(AI6,AA6)+1-196&gt;=28,28,IF(_xlfn.DAYS(AI6,AA6)+1-196&lt;0,0,_xlfn.DAYS(AI6,AA6)+1-196))</f>
        <v>28</v>
      </c>
      <c r="AG47" s="33"/>
      <c r="AH47" s="53">
        <f>AF47-COUNTIF(D47:AE47,"×")</f>
        <v>22</v>
      </c>
      <c r="AI47" s="54"/>
      <c r="AJ47" s="31">
        <f>COUNTIF(D47:AE47,"●")</f>
        <v>6</v>
      </c>
      <c r="AK47" s="32"/>
      <c r="AL47" s="32"/>
      <c r="AM47" s="33"/>
      <c r="AN47" s="34">
        <f>AJ47/AH47</f>
        <v>0.27272727272727271</v>
      </c>
      <c r="AO47" s="34"/>
    </row>
    <row r="48" spans="2:41" ht="24.75" thickBot="1" x14ac:dyDescent="0.45">
      <c r="B48" s="41"/>
      <c r="C48" s="12" t="s">
        <v>1</v>
      </c>
      <c r="D48" s="8"/>
      <c r="E48" s="8"/>
      <c r="F48" s="8"/>
      <c r="G48" s="8"/>
      <c r="H48" s="8" t="s">
        <v>2</v>
      </c>
      <c r="I48" s="8" t="s">
        <v>2</v>
      </c>
      <c r="J48" s="8" t="s">
        <v>3</v>
      </c>
      <c r="K48" s="8" t="s">
        <v>3</v>
      </c>
      <c r="L48" s="8" t="s">
        <v>3</v>
      </c>
      <c r="M48" s="8" t="s">
        <v>3</v>
      </c>
      <c r="N48" s="8" t="s">
        <v>3</v>
      </c>
      <c r="O48" s="8" t="s">
        <v>3</v>
      </c>
      <c r="P48" s="8" t="s">
        <v>2</v>
      </c>
      <c r="Q48" s="8" t="s">
        <v>2</v>
      </c>
      <c r="R48" s="8"/>
      <c r="S48" s="8"/>
      <c r="T48" s="8"/>
      <c r="U48" s="8"/>
      <c r="V48" s="8"/>
      <c r="W48" s="8"/>
      <c r="X48" s="8"/>
      <c r="Y48" s="8"/>
      <c r="Z48" s="8"/>
      <c r="AA48" s="8"/>
      <c r="AB48" s="8" t="s">
        <v>2</v>
      </c>
      <c r="AC48" s="8" t="s">
        <v>2</v>
      </c>
      <c r="AD48" s="8"/>
      <c r="AE48" s="8"/>
      <c r="AF48" s="35">
        <f>IF(_xlfn.DAYS(AI6,AA6)+1-196&gt;=28,28,IF(_xlfn.DAYS(AI6,AA6)+1-196&lt;0,0,_xlfn.DAYS(AI6,AA6)+1-196))</f>
        <v>28</v>
      </c>
      <c r="AG48" s="36"/>
      <c r="AH48" s="35">
        <f>AF48-COUNTIF(D48:AE48,"×")</f>
        <v>22</v>
      </c>
      <c r="AI48" s="36"/>
      <c r="AJ48" s="35">
        <f>COUNTIF(D48:AE48,"●")</f>
        <v>6</v>
      </c>
      <c r="AK48" s="37"/>
      <c r="AL48" s="37"/>
      <c r="AM48" s="36"/>
      <c r="AN48" s="38">
        <f>AJ48/AH48</f>
        <v>0.27272727272727271</v>
      </c>
      <c r="AO48" s="38"/>
    </row>
    <row r="49" spans="2:41" ht="24" x14ac:dyDescent="0.4">
      <c r="B49" s="40" t="s">
        <v>27</v>
      </c>
      <c r="C49" s="16" t="s">
        <v>15</v>
      </c>
      <c r="D49" s="18">
        <f>IF(AF52-1&lt;0,,MONTH($AA$6+224))</f>
        <v>1</v>
      </c>
      <c r="E49" s="18">
        <f>IF(AF52-2&lt;0,,MONTH($AA6+225))</f>
        <v>1</v>
      </c>
      <c r="F49" s="18">
        <f>IF(AF52-3&lt;0,,MONTH($AA6+226))</f>
        <v>1</v>
      </c>
      <c r="G49" s="18">
        <f>IF(AF52-4&lt;0,,MONTH($AA6+227))</f>
        <v>1</v>
      </c>
      <c r="H49" s="18">
        <f>IF(AF52-5&lt;0,,MONTH($AA6+228))</f>
        <v>1</v>
      </c>
      <c r="I49" s="18">
        <f>IF(AF52-6&lt;0,,MONTH($AA6+229))</f>
        <v>1</v>
      </c>
      <c r="J49" s="18">
        <f>IF(AF52-7&lt;0,,MONTH($AA6+230))</f>
        <v>1</v>
      </c>
      <c r="K49" s="18">
        <f>IF(AF52-8&lt;0,,MONTH($AA6+231))</f>
        <v>1</v>
      </c>
      <c r="L49" s="18">
        <f>IF(AF52-9&lt;0,,MONTH($AA6+232))</f>
        <v>1</v>
      </c>
      <c r="M49" s="18">
        <f>IF(AF52-10&lt;0,,MONTH($AA6+233))</f>
        <v>1</v>
      </c>
      <c r="N49" s="18">
        <f>IF(AF52-11&lt;0,,MONTH($AA6+234))</f>
        <v>0</v>
      </c>
      <c r="O49" s="18">
        <f>IF(AF52-12&lt;0,,MONTH($AA6+235))</f>
        <v>0</v>
      </c>
      <c r="P49" s="18">
        <f>IF(AF52-13&lt;0,,MONTH($AA6+236))</f>
        <v>0</v>
      </c>
      <c r="Q49" s="18">
        <f>IF(AF52-14&lt;0,,MONTH($AA6+237))</f>
        <v>0</v>
      </c>
      <c r="R49" s="18">
        <f>IF(AF52-15&lt;0,,MONTH($AA6+238))</f>
        <v>0</v>
      </c>
      <c r="S49" s="18">
        <f>IF(AF52-16&lt;0,,MONTH($AA6+239))</f>
        <v>0</v>
      </c>
      <c r="T49" s="18">
        <f>IF(AF52-17&lt;0,,MONTH($AA6+240))</f>
        <v>0</v>
      </c>
      <c r="U49" s="18">
        <f>IF(AF52-18&lt;0,,MONTH($AA6+241))</f>
        <v>0</v>
      </c>
      <c r="V49" s="18">
        <f>IF(AF52-19&lt;0,,MONTH($AA6+242))</f>
        <v>0</v>
      </c>
      <c r="W49" s="18">
        <f>IF(AF52-20&lt;0,,MONTH($AA6+243))</f>
        <v>0</v>
      </c>
      <c r="X49" s="18">
        <f>IF(AF52-21&lt;0,,MONTH($AA6+244))</f>
        <v>0</v>
      </c>
      <c r="Y49" s="18">
        <f>IF(AF52-22&lt;0,,MONTH($AA6+245))</f>
        <v>0</v>
      </c>
      <c r="Z49" s="18">
        <f>IF(AF52-23&lt;0,,MONTH($AA6+246))</f>
        <v>0</v>
      </c>
      <c r="AA49" s="18">
        <f>IF(AF52-24&lt;0,,MONTH($AA6+247))</f>
        <v>0</v>
      </c>
      <c r="AB49" s="18">
        <f>IF(AF52-25&lt;0,,MONTH($AA6+248))</f>
        <v>0</v>
      </c>
      <c r="AC49" s="18">
        <f>IF(AF52-26&lt;0,,MONTH($AA6+249))</f>
        <v>0</v>
      </c>
      <c r="AD49" s="18">
        <f>IF(AF52-27&lt;0,,MONTH($AA6+250))</f>
        <v>0</v>
      </c>
      <c r="AE49" s="18">
        <f>IF(AF52-28&lt;0,,MONTH($AA6+251))</f>
        <v>0</v>
      </c>
      <c r="AF49" s="55" t="s">
        <v>39</v>
      </c>
      <c r="AG49" s="56"/>
      <c r="AH49" s="56"/>
      <c r="AI49" s="56"/>
      <c r="AJ49" s="56"/>
      <c r="AK49" s="56"/>
      <c r="AL49" s="56"/>
      <c r="AM49" s="57"/>
      <c r="AN49" s="58" t="s">
        <v>5</v>
      </c>
      <c r="AO49" s="58"/>
    </row>
    <row r="50" spans="2:41" ht="24" x14ac:dyDescent="0.4">
      <c r="B50" s="40"/>
      <c r="C50" s="18" t="s">
        <v>11</v>
      </c>
      <c r="D50" s="18">
        <f>IF(AF52-1&lt;0,,DAY($AA6+224))</f>
        <v>20</v>
      </c>
      <c r="E50" s="18">
        <f>IF(AF52-2&lt;0,,DAY($AA6+225))</f>
        <v>21</v>
      </c>
      <c r="F50" s="18">
        <f>IF(AF52-3&lt;0,,DAY($AA6+226))</f>
        <v>22</v>
      </c>
      <c r="G50" s="18">
        <f>IF(AF52-4&lt;0,,DAY($AA6+227))</f>
        <v>23</v>
      </c>
      <c r="H50" s="18">
        <f>IF(AF52-5&lt;0,,DAY($AA6+228))</f>
        <v>24</v>
      </c>
      <c r="I50" s="18">
        <f>IF(AF52-6&lt;0,,DAY($AA6+229))</f>
        <v>25</v>
      </c>
      <c r="J50" s="18">
        <f>IF(AF52-7&lt;0,,DAY($AA6+230))</f>
        <v>26</v>
      </c>
      <c r="K50" s="18">
        <f>IF(AF52-8&lt;0,,DAY($AA6+231))</f>
        <v>27</v>
      </c>
      <c r="L50" s="18">
        <f>IF(AF52-9&lt;0,,DAY($AA6+232))</f>
        <v>28</v>
      </c>
      <c r="M50" s="18">
        <f>IF(AF52-10&lt;0,,DAY($AA6+233))</f>
        <v>29</v>
      </c>
      <c r="N50" s="18">
        <f>IF(AF52-11&lt;0,,DAY($AA6+234))</f>
        <v>0</v>
      </c>
      <c r="O50" s="18">
        <f>IF(AF52-12&lt;0,,DAY($AA6+235))</f>
        <v>0</v>
      </c>
      <c r="P50" s="18">
        <f>IF(AF52-13&lt;0,,DAY($AA6+236))</f>
        <v>0</v>
      </c>
      <c r="Q50" s="18">
        <f>IF(AF52-14&lt;0,,DAY($AA6+237))</f>
        <v>0</v>
      </c>
      <c r="R50" s="18">
        <f>IF(AF52-15&lt;0,,DAY($AA6+238))</f>
        <v>0</v>
      </c>
      <c r="S50" s="18">
        <f>IF(AF52-16&lt;0,,DAY($AA6+239))</f>
        <v>0</v>
      </c>
      <c r="T50" s="18">
        <f>IF(AF52-17&lt;0,,DAY($AA6+240))</f>
        <v>0</v>
      </c>
      <c r="U50" s="18">
        <f>IF(AF52-18&lt;0,,DAY($AA6+241))</f>
        <v>0</v>
      </c>
      <c r="V50" s="18">
        <f>IF(AF52-19&lt;0,,DAY($AA6+242))</f>
        <v>0</v>
      </c>
      <c r="W50" s="18">
        <f>IF(AF52-20&lt;0,,DAY($AA6+243))</f>
        <v>0</v>
      </c>
      <c r="X50" s="18">
        <f>IF(AF52-21&lt;0,,DAY($AA6+244))</f>
        <v>0</v>
      </c>
      <c r="Y50" s="18">
        <f>IF(AF52-22&lt;0,,DAY($AA6+245))</f>
        <v>0</v>
      </c>
      <c r="Z50" s="18">
        <f>IF(AF52-23&lt;0,,DAY($AA6+246))</f>
        <v>0</v>
      </c>
      <c r="AA50" s="18">
        <f>IF(AF52-24&lt;0,,DAY($AA6+247))</f>
        <v>0</v>
      </c>
      <c r="AB50" s="18">
        <f>IF(AF52-25&lt;0,,DAY($AA6+248))</f>
        <v>0</v>
      </c>
      <c r="AC50" s="18">
        <f>IF(AF52-26&lt;0,,DAY($AA6+249))</f>
        <v>0</v>
      </c>
      <c r="AD50" s="18">
        <f>IF(AF52-27&lt;0,,DAY($AA6+250))</f>
        <v>0</v>
      </c>
      <c r="AE50" s="18">
        <f>IF(AF52-28&lt;0,,DAY($AA6+251))</f>
        <v>0</v>
      </c>
      <c r="AF50" s="26"/>
      <c r="AG50" s="27"/>
      <c r="AH50" s="47" t="s">
        <v>14</v>
      </c>
      <c r="AI50" s="48"/>
      <c r="AJ50" s="48"/>
      <c r="AK50" s="48"/>
      <c r="AL50" s="48"/>
      <c r="AM50" s="49"/>
      <c r="AN50" s="46"/>
      <c r="AO50" s="46"/>
    </row>
    <row r="51" spans="2:41" ht="24" x14ac:dyDescent="0.4">
      <c r="B51" s="40"/>
      <c r="C51" s="18" t="s">
        <v>16</v>
      </c>
      <c r="D51" s="18" t="str" cm="1">
        <f t="array" ref="D51">IF(D50&gt;0,_xlfn.SWITCH(AE46,"月","火","火","水","水","木","木","金","金","土","土","日","日","月"),"")</f>
        <v>水</v>
      </c>
      <c r="E51" s="18" t="str" cm="1">
        <f t="array" ref="E51">IF(E50&gt;0,_xlfn.SWITCH(D51,"月","火","火","水","水","木","木","金","金","土","土","日","日","月"),"")</f>
        <v>木</v>
      </c>
      <c r="F51" s="18" t="str" cm="1">
        <f t="array" ref="F51">IF(F50&gt;0,_xlfn.SWITCH(E51,"月","火","火","水","水","木","木","金","金","土","土","日","日","月"),"")</f>
        <v>金</v>
      </c>
      <c r="G51" s="18" t="str" cm="1">
        <f t="array" ref="G51">IF(G50&gt;0,_xlfn.SWITCH(F51,"月","火","火","水","水","木","木","金","金","土","土","日","日","月"),"")</f>
        <v>土</v>
      </c>
      <c r="H51" s="18" t="str" cm="1">
        <f t="array" ref="H51">IF(H50&gt;0,_xlfn.SWITCH(G51,"月","火","火","水","水","木","木","金","金","土","土","日","日","月"),"")</f>
        <v>日</v>
      </c>
      <c r="I51" s="18" t="str" cm="1">
        <f t="array" ref="I51">IF(I50&gt;0,_xlfn.SWITCH(H51,"月","火","火","水","水","木","木","金","金","土","土","日","日","月"),"")</f>
        <v>月</v>
      </c>
      <c r="J51" s="18" t="str" cm="1">
        <f t="array" ref="J51">IF(J50&gt;0,_xlfn.SWITCH(I51,"月","火","火","水","水","木","木","金","金","土","土","日","日","月"),"")</f>
        <v>火</v>
      </c>
      <c r="K51" s="18" t="str" cm="1">
        <f t="array" ref="K51">IF(K50&gt;0,_xlfn.SWITCH(J51,"月","火","火","水","水","木","木","金","金","土","土","日","日","月"),"")</f>
        <v>水</v>
      </c>
      <c r="L51" s="18" t="str" cm="1">
        <f t="array" ref="L51">IF(L50&gt;0,_xlfn.SWITCH(K51,"月","火","火","水","水","木","木","金","金","土","土","日","日","月"),"")</f>
        <v>木</v>
      </c>
      <c r="M51" s="18" t="str" cm="1">
        <f t="array" ref="M51">IF(M50&gt;0,_xlfn.SWITCH(L51,"月","火","火","水","水","木","木","金","金","土","土","日","日","月"),"")</f>
        <v>金</v>
      </c>
      <c r="N51" s="18" t="str" cm="1">
        <f t="array" ref="N51">IF(N50&gt;0,_xlfn.SWITCH(M51,"月","火","火","水","水","木","木","金","金","土","土","日","日","月"),"")</f>
        <v/>
      </c>
      <c r="O51" s="18" t="str" cm="1">
        <f t="array" ref="O51">IF(O50&gt;0,_xlfn.SWITCH(N51,"月","火","火","水","水","木","木","金","金","土","土","日","日","月"),"")</f>
        <v/>
      </c>
      <c r="P51" s="18" t="str" cm="1">
        <f t="array" ref="P51">IF(P50&gt;0,_xlfn.SWITCH(O51,"月","火","火","水","水","木","木","金","金","土","土","日","日","月"),"")</f>
        <v/>
      </c>
      <c r="Q51" s="18" t="str" cm="1">
        <f t="array" ref="Q51">IF(Q50&gt;0,_xlfn.SWITCH(P51,"月","火","火","水","水","木","木","金","金","土","土","日","日","月"),"")</f>
        <v/>
      </c>
      <c r="R51" s="18" t="str" cm="1">
        <f t="array" ref="R51">IF(R50&gt;0,_xlfn.SWITCH(Q51,"月","火","火","水","水","木","木","金","金","土","土","日","日","月"),"")</f>
        <v/>
      </c>
      <c r="S51" s="18" t="str" cm="1">
        <f t="array" ref="S51">IF(S50&gt;0,_xlfn.SWITCH(R51,"月","火","火","水","水","木","木","金","金","土","土","日","日","月"),"")</f>
        <v/>
      </c>
      <c r="T51" s="18" t="str" cm="1">
        <f t="array" ref="T51">IF(T50&gt;0,_xlfn.SWITCH(S51,"月","火","火","水","水","木","木","金","金","土","土","日","日","月"),"")</f>
        <v/>
      </c>
      <c r="U51" s="18" t="str" cm="1">
        <f t="array" ref="U51">IF(U50&gt;0,_xlfn.SWITCH(T51,"月","火","火","水","水","木","木","金","金","土","土","日","日","月"),"")</f>
        <v/>
      </c>
      <c r="V51" s="18" t="str" cm="1">
        <f t="array" ref="V51">IF(V50&gt;0,_xlfn.SWITCH(U51,"月","火","火","水","水","木","木","金","金","土","土","日","日","月"),"")</f>
        <v/>
      </c>
      <c r="W51" s="18" t="str" cm="1">
        <f t="array" ref="W51">IF(W50&gt;0,_xlfn.SWITCH(V51,"月","火","火","水","水","木","木","金","金","土","土","日","日","月"),"")</f>
        <v/>
      </c>
      <c r="X51" s="18" t="str" cm="1">
        <f t="array" ref="X51">IF(X50&gt;0,_xlfn.SWITCH(W51,"月","火","火","水","水","木","木","金","金","土","土","日","日","月"),"")</f>
        <v/>
      </c>
      <c r="Y51" s="18" t="str" cm="1">
        <f t="array" ref="Y51">IF(Y50&gt;0,_xlfn.SWITCH(X51,"月","火","火","水","水","木","木","金","金","土","土","日","日","月"),"")</f>
        <v/>
      </c>
      <c r="Z51" s="18" t="str" cm="1">
        <f t="array" ref="Z51">IF(Z50&gt;0,_xlfn.SWITCH(Y51,"月","火","火","水","水","木","木","金","金","土","土","日","日","月"),"")</f>
        <v/>
      </c>
      <c r="AA51" s="18" t="str" cm="1">
        <f t="array" ref="AA51">IF(AA50&gt;0,_xlfn.SWITCH(Z51,"月","火","火","水","水","木","木","金","金","土","土","日","日","月"),"")</f>
        <v/>
      </c>
      <c r="AB51" s="18" t="str" cm="1">
        <f t="array" ref="AB51">IF(AB50&gt;0,_xlfn.SWITCH(AA51,"月","火","火","水","水","木","木","金","金","土","土","日","日","月"),"")</f>
        <v/>
      </c>
      <c r="AC51" s="18" t="str" cm="1">
        <f t="array" ref="AC51">IF(AC50&gt;0,_xlfn.SWITCH(AB51,"月","火","火","水","水","木","木","金","金","土","土","日","日","月"),"")</f>
        <v/>
      </c>
      <c r="AD51" s="18" t="str" cm="1">
        <f t="array" ref="AD51">IF(AD50&gt;0,_xlfn.SWITCH(AC51,"月","火","火","水","水","木","木","金","金","土","土","日","日","月"),"")</f>
        <v/>
      </c>
      <c r="AE51" s="18" t="str" cm="1">
        <f t="array" ref="AE51">IF(AE50&gt;0,_xlfn.SWITCH(AD51,"月","火","火","水","水","木","木","金","金","土","土","日","日","月"),"")</f>
        <v/>
      </c>
      <c r="AF51" s="28"/>
      <c r="AG51" s="7"/>
      <c r="AH51" s="11"/>
      <c r="AI51" s="7"/>
      <c r="AJ51" s="50" t="s">
        <v>12</v>
      </c>
      <c r="AK51" s="51"/>
      <c r="AL51" s="51"/>
      <c r="AM51" s="52"/>
      <c r="AN51" s="46"/>
      <c r="AO51" s="46"/>
    </row>
    <row r="52" spans="2:41" ht="24" x14ac:dyDescent="0.4">
      <c r="B52" s="40"/>
      <c r="C52" s="15" t="s">
        <v>0</v>
      </c>
      <c r="D52" s="10"/>
      <c r="E52" s="10"/>
      <c r="F52" s="10"/>
      <c r="G52" s="10" t="s">
        <v>2</v>
      </c>
      <c r="H52" s="10" t="s">
        <v>2</v>
      </c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31">
        <f>IF(_xlfn.DAYS(AI6,AA6)+1-224&gt;=28,28,IF(_xlfn.DAYS(AI6,AA6)+1-224&lt;0,0,_xlfn.DAYS(AI6,AA6)+1-224))</f>
        <v>10</v>
      </c>
      <c r="AG52" s="33"/>
      <c r="AH52" s="53">
        <f>AF52-COUNTIF(D52:AE52,"×")</f>
        <v>10</v>
      </c>
      <c r="AI52" s="54"/>
      <c r="AJ52" s="31">
        <f>COUNTIF(D52:AE52,"●")</f>
        <v>2</v>
      </c>
      <c r="AK52" s="32"/>
      <c r="AL52" s="32"/>
      <c r="AM52" s="33"/>
      <c r="AN52" s="34">
        <f>AJ52/AH52</f>
        <v>0.2</v>
      </c>
      <c r="AO52" s="34"/>
    </row>
    <row r="53" spans="2:41" ht="24.75" thickBot="1" x14ac:dyDescent="0.45">
      <c r="B53" s="41"/>
      <c r="C53" s="12" t="s">
        <v>1</v>
      </c>
      <c r="D53" s="8"/>
      <c r="E53" s="8"/>
      <c r="F53" s="8"/>
      <c r="G53" s="8" t="s">
        <v>2</v>
      </c>
      <c r="H53" s="8" t="s">
        <v>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35">
        <f>IF(_xlfn.DAYS(AI6,AA6)+1-224&gt;=28,28,IF(_xlfn.DAYS(AI6,AA6)+1-224&lt;0,0,_xlfn.DAYS(AI6,AA6)+1-224))</f>
        <v>10</v>
      </c>
      <c r="AG53" s="36"/>
      <c r="AH53" s="35">
        <f>AF53-COUNTIF(D53:AE53,"×")</f>
        <v>10</v>
      </c>
      <c r="AI53" s="36"/>
      <c r="AJ53" s="35">
        <f>COUNTIF(D53:AE53,"●")</f>
        <v>2</v>
      </c>
      <c r="AK53" s="37"/>
      <c r="AL53" s="37"/>
      <c r="AM53" s="36"/>
      <c r="AN53" s="38">
        <f>AJ53/AH53</f>
        <v>0.2</v>
      </c>
      <c r="AO53" s="38"/>
    </row>
    <row r="54" spans="2:41" ht="24" x14ac:dyDescent="0.4">
      <c r="B54" s="40" t="s">
        <v>28</v>
      </c>
      <c r="C54" s="16" t="s">
        <v>15</v>
      </c>
      <c r="D54" s="20">
        <f>IF($AF$57-1&lt;0,,MONTH($AA$6+252))</f>
        <v>0</v>
      </c>
      <c r="E54" s="20">
        <f>IF($AF$57-2&lt;0,,MONTH($AA$6+253))</f>
        <v>0</v>
      </c>
      <c r="F54" s="20">
        <f>IF($AF$57-3&lt;0,,MONTH($AA$6+254))</f>
        <v>0</v>
      </c>
      <c r="G54" s="20">
        <f>IF($AF$57-4&lt;0,,MONTH($AA$6+255))</f>
        <v>0</v>
      </c>
      <c r="H54" s="20">
        <f>IF($AF$57-5&lt;0,,MONTH($AA$6+256))</f>
        <v>0</v>
      </c>
      <c r="I54" s="20">
        <f>IF($AF$57-6&lt;0,,MONTH($AA$6+257))</f>
        <v>0</v>
      </c>
      <c r="J54" s="20">
        <f>IF($AF$57-7&lt;0,,MONTH($AA$6+258))</f>
        <v>0</v>
      </c>
      <c r="K54" s="20">
        <f>IF($AF$57-8&lt;0,,MONTH($AA$6+259))</f>
        <v>0</v>
      </c>
      <c r="L54" s="20">
        <f>IF($AF$57-9&lt;0,,MONTH($AA$6+260))</f>
        <v>0</v>
      </c>
      <c r="M54" s="20">
        <f>IF($AF$57-10&lt;0,,MONTH($AA$6+261))</f>
        <v>0</v>
      </c>
      <c r="N54" s="20">
        <f>IF($AF$57-11&lt;0,,MONTH($AA$6+262))</f>
        <v>0</v>
      </c>
      <c r="O54" s="20">
        <f>IF($AF$57-12&lt;0,,MONTH($AA$6+263))</f>
        <v>0</v>
      </c>
      <c r="P54" s="20">
        <f>IF($AF$57-13&lt;0,,MONTH($AA$6+264))</f>
        <v>0</v>
      </c>
      <c r="Q54" s="20">
        <f>IF($AF$57-14&lt;0,,MONTH($AA$6+265))</f>
        <v>0</v>
      </c>
      <c r="R54" s="20">
        <f>IF($AF$57-15&lt;0,,MONTH($AA$6+266))</f>
        <v>0</v>
      </c>
      <c r="S54" s="20">
        <f>IF($AF$57-16&lt;0,,MONTH($AA$6+267))</f>
        <v>0</v>
      </c>
      <c r="T54" s="20">
        <f>IF($AF$57-17&lt;0,,MONTH($AA$6+268))</f>
        <v>0</v>
      </c>
      <c r="U54" s="20">
        <f>IF($AF$57-18&lt;0,,MONTH($AA$6+269))</f>
        <v>0</v>
      </c>
      <c r="V54" s="20">
        <f>IF($AF$57-19&lt;0,,MONTH($AA$6+270))</f>
        <v>0</v>
      </c>
      <c r="W54" s="20">
        <f>IF($AF$57-20&lt;0,,MONTH($AA$6+271))</f>
        <v>0</v>
      </c>
      <c r="X54" s="20">
        <f>IF($AF$57-21&lt;0,,MONTH($AA$6+272))</f>
        <v>0</v>
      </c>
      <c r="Y54" s="20">
        <f>IF($AF$57-22&lt;0,,MONTH($AA$6+273))</f>
        <v>0</v>
      </c>
      <c r="Z54" s="20">
        <f>IF($AF$57-23&lt;0,,MONTH($AA$6+274))</f>
        <v>0</v>
      </c>
      <c r="AA54" s="20">
        <f>IF($AF$57-24&lt;0,,MONTH($AA$6+275))</f>
        <v>0</v>
      </c>
      <c r="AB54" s="20">
        <f>IF($AF$57-25&lt;0,,MONTH($AA$6+276))</f>
        <v>0</v>
      </c>
      <c r="AC54" s="20">
        <f>IF($AF$57-26&lt;0,,MONTH($AA$6+277))</f>
        <v>0</v>
      </c>
      <c r="AD54" s="20">
        <f>IF($AF$57-27&lt;0,,MONTH($AA$6+278))</f>
        <v>0</v>
      </c>
      <c r="AE54" s="20">
        <f>IF($AF$57-28&lt;0,,MONTH($AA$6+279))</f>
        <v>0</v>
      </c>
      <c r="AF54" s="55" t="s">
        <v>39</v>
      </c>
      <c r="AG54" s="56"/>
      <c r="AH54" s="56"/>
      <c r="AI54" s="56"/>
      <c r="AJ54" s="56"/>
      <c r="AK54" s="56"/>
      <c r="AL54" s="56"/>
      <c r="AM54" s="57"/>
      <c r="AN54" s="58" t="s">
        <v>5</v>
      </c>
      <c r="AO54" s="58"/>
    </row>
    <row r="55" spans="2:41" ht="24" x14ac:dyDescent="0.4">
      <c r="B55" s="40"/>
      <c r="C55" s="18" t="s">
        <v>11</v>
      </c>
      <c r="D55" s="20">
        <f>IF($AF$57-1&lt;0,,DAY($AA$6+252))</f>
        <v>0</v>
      </c>
      <c r="E55" s="20">
        <f>IF($AF$57-2&lt;0,,DAY($AA$6+253))</f>
        <v>0</v>
      </c>
      <c r="F55" s="20">
        <f>IF($AF$57-3&lt;0,,DAY($AA$6+254))</f>
        <v>0</v>
      </c>
      <c r="G55" s="20">
        <f>IF($AF$57-4&lt;0,,DAY($AA$6+255))</f>
        <v>0</v>
      </c>
      <c r="H55" s="20">
        <f>IF($AF$57-5&lt;0,,DAY($AA$6+256))</f>
        <v>0</v>
      </c>
      <c r="I55" s="20">
        <f>IF($AF$57-6&lt;0,,DAY($AA$6+257))</f>
        <v>0</v>
      </c>
      <c r="J55" s="20">
        <f>IF($AF$57-7&lt;0,,DAY($AA$6+258))</f>
        <v>0</v>
      </c>
      <c r="K55" s="20">
        <f>IF($AF$57-8&lt;0,,DAY($AA$6+259))</f>
        <v>0</v>
      </c>
      <c r="L55" s="20">
        <f>IF($AF$57-9&lt;0,,DAY($AA$6+260))</f>
        <v>0</v>
      </c>
      <c r="M55" s="20">
        <f>IF($AF$57-10&lt;0,,DAY($AA$6+261))</f>
        <v>0</v>
      </c>
      <c r="N55" s="20">
        <f>IF($AF$57-11&lt;0,,DAY($AA$6+262))</f>
        <v>0</v>
      </c>
      <c r="O55" s="20">
        <f>IF($AF$57-12&lt;0,,DAY($AA$6+263))</f>
        <v>0</v>
      </c>
      <c r="P55" s="20">
        <f>IF($AF$57-13&lt;0,,DAY($AA$6+264))</f>
        <v>0</v>
      </c>
      <c r="Q55" s="20">
        <f>IF($AF$57-14&lt;0,,DAY($AA$6+265))</f>
        <v>0</v>
      </c>
      <c r="R55" s="20">
        <f>IF($AF$57-15&lt;0,,DAY($AA$6+266))</f>
        <v>0</v>
      </c>
      <c r="S55" s="20">
        <f>IF($AF$57-16&lt;0,,DAY($AA$6+267))</f>
        <v>0</v>
      </c>
      <c r="T55" s="20">
        <f>IF($AF$57-17&lt;0,,DAY($AA$6+268))</f>
        <v>0</v>
      </c>
      <c r="U55" s="20">
        <f>IF($AF$57-18&lt;0,,DAY($AA$6+269))</f>
        <v>0</v>
      </c>
      <c r="V55" s="20">
        <f>IF($AF$57-19&lt;0,,DAY($AA$6+270))</f>
        <v>0</v>
      </c>
      <c r="W55" s="20">
        <f>IF($AF$57-20&lt;0,,DAY($AA$6+271))</f>
        <v>0</v>
      </c>
      <c r="X55" s="20">
        <f>IF($AF$57-21&lt;0,,DAY($AA$6+272))</f>
        <v>0</v>
      </c>
      <c r="Y55" s="20">
        <f>IF($AF$57-22&lt;0,,DAY($AA$6+273))</f>
        <v>0</v>
      </c>
      <c r="Z55" s="20">
        <f>IF($AF$57-23&lt;0,,DAY($AA$6+274))</f>
        <v>0</v>
      </c>
      <c r="AA55" s="20">
        <f>IF($AF$57-24&lt;0,,DAY($AA$6+275))</f>
        <v>0</v>
      </c>
      <c r="AB55" s="20">
        <f>IF($AF$57-25&lt;0,,DAY($AA$6+276))</f>
        <v>0</v>
      </c>
      <c r="AC55" s="20">
        <f>IF($AF$57-26&lt;0,,DAY($AA$6+277))</f>
        <v>0</v>
      </c>
      <c r="AD55" s="20">
        <f>IF($AF$57-27&lt;0,,DAY($AA$6+278))</f>
        <v>0</v>
      </c>
      <c r="AE55" s="20">
        <f>IF($AF$57-28&lt;0,,DAY($AA$6+279))</f>
        <v>0</v>
      </c>
      <c r="AF55" s="26"/>
      <c r="AG55" s="27"/>
      <c r="AH55" s="47" t="s">
        <v>14</v>
      </c>
      <c r="AI55" s="48"/>
      <c r="AJ55" s="48"/>
      <c r="AK55" s="48"/>
      <c r="AL55" s="48"/>
      <c r="AM55" s="49"/>
      <c r="AN55" s="46"/>
      <c r="AO55" s="46"/>
    </row>
    <row r="56" spans="2:41" ht="24" x14ac:dyDescent="0.4">
      <c r="B56" s="40"/>
      <c r="C56" s="18" t="s">
        <v>16</v>
      </c>
      <c r="D56" s="18" t="str" cm="1">
        <f t="array" ref="D56">IF(D55&gt;0,_xlfn.SWITCH(AE51,"月","火","火","水","水","木","木","金","金","土","土","日","日","月"),"")</f>
        <v/>
      </c>
      <c r="E56" s="18" t="str" cm="1">
        <f t="array" ref="E56">IF(E55&gt;0,_xlfn.SWITCH(D56,"月","火","火","水","水","木","木","金","金","土","土","日","日","月"),"")</f>
        <v/>
      </c>
      <c r="F56" s="18" t="str" cm="1">
        <f t="array" ref="F56">IF(F55&gt;0,_xlfn.SWITCH(E56,"月","火","火","水","水","木","木","金","金","土","土","日","日","月"),"")</f>
        <v/>
      </c>
      <c r="G56" s="18" t="str" cm="1">
        <f t="array" ref="G56">IF(G55&gt;0,_xlfn.SWITCH(F56,"月","火","火","水","水","木","木","金","金","土","土","日","日","月"),"")</f>
        <v/>
      </c>
      <c r="H56" s="18" t="str" cm="1">
        <f t="array" ref="H56">IF(H55&gt;0,_xlfn.SWITCH(G56,"月","火","火","水","水","木","木","金","金","土","土","日","日","月"),"")</f>
        <v/>
      </c>
      <c r="I56" s="18" t="str" cm="1">
        <f t="array" ref="I56">IF(I55&gt;0,_xlfn.SWITCH(H56,"月","火","火","水","水","木","木","金","金","土","土","日","日","月"),"")</f>
        <v/>
      </c>
      <c r="J56" s="18" t="str" cm="1">
        <f t="array" ref="J56">IF(J55&gt;0,_xlfn.SWITCH(I56,"月","火","火","水","水","木","木","金","金","土","土","日","日","月"),"")</f>
        <v/>
      </c>
      <c r="K56" s="18" t="str" cm="1">
        <f t="array" ref="K56">IF(K55&gt;0,_xlfn.SWITCH(J56,"月","火","火","水","水","木","木","金","金","土","土","日","日","月"),"")</f>
        <v/>
      </c>
      <c r="L56" s="18" t="str" cm="1">
        <f t="array" ref="L56">IF(L55&gt;0,_xlfn.SWITCH(K56,"月","火","火","水","水","木","木","金","金","土","土","日","日","月"),"")</f>
        <v/>
      </c>
      <c r="M56" s="18" t="str" cm="1">
        <f t="array" ref="M56">IF(M55&gt;0,_xlfn.SWITCH(L56,"月","火","火","水","水","木","木","金","金","土","土","日","日","月"),"")</f>
        <v/>
      </c>
      <c r="N56" s="18" t="str" cm="1">
        <f t="array" ref="N56">IF(N55&gt;0,_xlfn.SWITCH(M56,"月","火","火","水","水","木","木","金","金","土","土","日","日","月"),"")</f>
        <v/>
      </c>
      <c r="O56" s="18" t="str" cm="1">
        <f t="array" ref="O56">IF(O55&gt;0,_xlfn.SWITCH(N56,"月","火","火","水","水","木","木","金","金","土","土","日","日","月"),"")</f>
        <v/>
      </c>
      <c r="P56" s="18" t="str" cm="1">
        <f t="array" ref="P56">IF(P55&gt;0,_xlfn.SWITCH(O56,"月","火","火","水","水","木","木","金","金","土","土","日","日","月"),"")</f>
        <v/>
      </c>
      <c r="Q56" s="18" t="str" cm="1">
        <f t="array" ref="Q56">IF(Q55&gt;0,_xlfn.SWITCH(P56,"月","火","火","水","水","木","木","金","金","土","土","日","日","月"),"")</f>
        <v/>
      </c>
      <c r="R56" s="18" t="str" cm="1">
        <f t="array" ref="R56">IF(R55&gt;0,_xlfn.SWITCH(Q56,"月","火","火","水","水","木","木","金","金","土","土","日","日","月"),"")</f>
        <v/>
      </c>
      <c r="S56" s="18" t="str" cm="1">
        <f t="array" ref="S56">IF(S55&gt;0,_xlfn.SWITCH(R56,"月","火","火","水","水","木","木","金","金","土","土","日","日","月"),"")</f>
        <v/>
      </c>
      <c r="T56" s="18" t="str" cm="1">
        <f t="array" ref="T56">IF(T55&gt;0,_xlfn.SWITCH(S56,"月","火","火","水","水","木","木","金","金","土","土","日","日","月"),"")</f>
        <v/>
      </c>
      <c r="U56" s="18" t="str" cm="1">
        <f t="array" ref="U56">IF(U55&gt;0,_xlfn.SWITCH(T56,"月","火","火","水","水","木","木","金","金","土","土","日","日","月"),"")</f>
        <v/>
      </c>
      <c r="V56" s="18" t="str" cm="1">
        <f t="array" ref="V56">IF(V55&gt;0,_xlfn.SWITCH(U56,"月","火","火","水","水","木","木","金","金","土","土","日","日","月"),"")</f>
        <v/>
      </c>
      <c r="W56" s="18" t="str" cm="1">
        <f t="array" ref="W56">IF(W55&gt;0,_xlfn.SWITCH(V56,"月","火","火","水","水","木","木","金","金","土","土","日","日","月"),"")</f>
        <v/>
      </c>
      <c r="X56" s="18" t="str" cm="1">
        <f t="array" ref="X56">IF(X55&gt;0,_xlfn.SWITCH(W56,"月","火","火","水","水","木","木","金","金","土","土","日","日","月"),"")</f>
        <v/>
      </c>
      <c r="Y56" s="18" t="str" cm="1">
        <f t="array" ref="Y56">IF(Y55&gt;0,_xlfn.SWITCH(X56,"月","火","火","水","水","木","木","金","金","土","土","日","日","月"),"")</f>
        <v/>
      </c>
      <c r="Z56" s="18" t="str" cm="1">
        <f t="array" ref="Z56">IF(Z55&gt;0,_xlfn.SWITCH(Y56,"月","火","火","水","水","木","木","金","金","土","土","日","日","月"),"")</f>
        <v/>
      </c>
      <c r="AA56" s="18" t="str" cm="1">
        <f t="array" ref="AA56">IF(AA55&gt;0,_xlfn.SWITCH(Z56,"月","火","火","水","水","木","木","金","金","土","土","日","日","月"),"")</f>
        <v/>
      </c>
      <c r="AB56" s="18" t="str" cm="1">
        <f t="array" ref="AB56">IF(AB55&gt;0,_xlfn.SWITCH(AA56,"月","火","火","水","水","木","木","金","金","土","土","日","日","月"),"")</f>
        <v/>
      </c>
      <c r="AC56" s="18" t="str" cm="1">
        <f t="array" ref="AC56">IF(AC55&gt;0,_xlfn.SWITCH(AB56,"月","火","火","水","水","木","木","金","金","土","土","日","日","月"),"")</f>
        <v/>
      </c>
      <c r="AD56" s="18" t="str" cm="1">
        <f t="array" ref="AD56">IF(AD55&gt;0,_xlfn.SWITCH(AC56,"月","火","火","水","水","木","木","金","金","土","土","日","日","月"),"")</f>
        <v/>
      </c>
      <c r="AE56" s="18" t="str" cm="1">
        <f t="array" ref="AE56">IF(AE55&gt;0,_xlfn.SWITCH(AD56,"月","火","火","水","水","木","木","金","金","土","土","日","日","月"),"")</f>
        <v/>
      </c>
      <c r="AF56" s="28"/>
      <c r="AG56" s="7"/>
      <c r="AH56" s="11"/>
      <c r="AI56" s="7"/>
      <c r="AJ56" s="50" t="s">
        <v>12</v>
      </c>
      <c r="AK56" s="51"/>
      <c r="AL56" s="51"/>
      <c r="AM56" s="52"/>
      <c r="AN56" s="46"/>
      <c r="AO56" s="46"/>
    </row>
    <row r="57" spans="2:41" ht="24" x14ac:dyDescent="0.4">
      <c r="B57" s="40"/>
      <c r="C57" s="15" t="s">
        <v>0</v>
      </c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31">
        <f>IF(_xlfn.DAYS(AI6,AA6)+1-252&gt;=28,28,IF(_xlfn.DAYS(AI6,AA6)+1-252&lt;0,0,_xlfn.DAYS(AI6,AA6)+1-252))</f>
        <v>0</v>
      </c>
      <c r="AG57" s="33"/>
      <c r="AH57" s="53">
        <f>AF57-COUNTIF(D57:AE57,"×")</f>
        <v>0</v>
      </c>
      <c r="AI57" s="54"/>
      <c r="AJ57" s="31">
        <f>COUNTIF(D57:AE57,"●")</f>
        <v>0</v>
      </c>
      <c r="AK57" s="32"/>
      <c r="AL57" s="32"/>
      <c r="AM57" s="33"/>
      <c r="AN57" s="34" t="e">
        <f>AJ57/AH57</f>
        <v>#DIV/0!</v>
      </c>
      <c r="AO57" s="34"/>
    </row>
    <row r="58" spans="2:41" ht="24.75" thickBot="1" x14ac:dyDescent="0.45">
      <c r="B58" s="41"/>
      <c r="C58" s="12" t="s">
        <v>1</v>
      </c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35">
        <f>IF(_xlfn.DAYS(AI6,AA6)+1-252&gt;=28,28,IF(_xlfn.DAYS(AI6,AA6)+1-252&lt;0,0,_xlfn.DAYS(AI6,AA6)+1-252))</f>
        <v>0</v>
      </c>
      <c r="AG58" s="36"/>
      <c r="AH58" s="35">
        <f>AF58-COUNTIF(D58:AE58,"×")</f>
        <v>0</v>
      </c>
      <c r="AI58" s="36"/>
      <c r="AJ58" s="35">
        <f>COUNTIF(D58:AE58,"●")</f>
        <v>0</v>
      </c>
      <c r="AK58" s="37"/>
      <c r="AL58" s="37"/>
      <c r="AM58" s="36"/>
      <c r="AN58" s="38" t="e">
        <f>AJ58/AH58</f>
        <v>#DIV/0!</v>
      </c>
      <c r="AO58" s="38"/>
    </row>
    <row r="59" spans="2:41" ht="24" x14ac:dyDescent="0.4">
      <c r="B59" s="40" t="s">
        <v>29</v>
      </c>
      <c r="C59" s="16" t="s">
        <v>15</v>
      </c>
      <c r="D59" s="20">
        <f>IF($AF$62-1&lt;0,,MONTH($AA$6+280))</f>
        <v>0</v>
      </c>
      <c r="E59" s="20">
        <f>IF($AF$62-2&lt;0,,MONTH($AA$6+281))</f>
        <v>0</v>
      </c>
      <c r="F59" s="20">
        <f>IF($AF$62-3&lt;0,,MONTH($AA$6+282))</f>
        <v>0</v>
      </c>
      <c r="G59" s="20">
        <f>IF($AF$62-4&lt;0,,MONTH($AA$6+283))</f>
        <v>0</v>
      </c>
      <c r="H59" s="20">
        <f>IF($AF$62-5&lt;0,,MONTH($AA$6+284))</f>
        <v>0</v>
      </c>
      <c r="I59" s="20">
        <f>IF($AF$62-6&lt;0,,MONTH($AA$6+285))</f>
        <v>0</v>
      </c>
      <c r="J59" s="20">
        <f>IF($AF$62-7&lt;0,,MONTH($AA$6+286))</f>
        <v>0</v>
      </c>
      <c r="K59" s="20">
        <f>IF($AF$62-8&lt;0,,MONTH($AA$6+287))</f>
        <v>0</v>
      </c>
      <c r="L59" s="20">
        <f>IF($AF$62-9&lt;0,,MONTH($AA$6+288))</f>
        <v>0</v>
      </c>
      <c r="M59" s="20">
        <f>IF($AF$62-10&lt;0,,MONTH($AA$6+289))</f>
        <v>0</v>
      </c>
      <c r="N59" s="20">
        <f>IF($AF$62-11&lt;0,,MONTH($AA$6+290))</f>
        <v>0</v>
      </c>
      <c r="O59" s="20">
        <f>IF($AF$62-12&lt;0,,MONTH($AA$6+291))</f>
        <v>0</v>
      </c>
      <c r="P59" s="20">
        <f>IF($AF$62-13&lt;0,,MONTH($AA$6+292))</f>
        <v>0</v>
      </c>
      <c r="Q59" s="20">
        <f>IF($AF$62-14&lt;0,,MONTH($AA$6+293))</f>
        <v>0</v>
      </c>
      <c r="R59" s="20">
        <f>IF($AF$62-15&lt;0,,MONTH($AA$6+294))</f>
        <v>0</v>
      </c>
      <c r="S59" s="20">
        <f>IF($AF$62-16&lt;0,,MONTH($AA$6+295))</f>
        <v>0</v>
      </c>
      <c r="T59" s="20">
        <f>IF($AF$62-17&lt;0,,MONTH($AA$6+296))</f>
        <v>0</v>
      </c>
      <c r="U59" s="20">
        <f>IF($AF$62-18&lt;0,,MONTH($AA$6+297))</f>
        <v>0</v>
      </c>
      <c r="V59" s="20">
        <f>IF($AF$62-19&lt;0,,MONTH($AA$6+298))</f>
        <v>0</v>
      </c>
      <c r="W59" s="20">
        <f>IF($AF$62-20&lt;0,,MONTH($AA$6+299))</f>
        <v>0</v>
      </c>
      <c r="X59" s="20">
        <f>IF($AF$62-21&lt;0,,MONTH($AA$6+300))</f>
        <v>0</v>
      </c>
      <c r="Y59" s="20">
        <f>IF($AF$62-22&lt;0,,MONTH($AA$6+301))</f>
        <v>0</v>
      </c>
      <c r="Z59" s="20">
        <f>IF($AF$62-23&lt;0,,MONTH($AA$6+302))</f>
        <v>0</v>
      </c>
      <c r="AA59" s="20">
        <f>IF($AF$62-24&lt;0,,MONTH($AA$6+303))</f>
        <v>0</v>
      </c>
      <c r="AB59" s="20">
        <f>IF($AF$62-25&lt;0,,MONTH($AA$6+304))</f>
        <v>0</v>
      </c>
      <c r="AC59" s="20">
        <f>IF($AF$62-26&lt;0,,MONTH($AA$6+305))</f>
        <v>0</v>
      </c>
      <c r="AD59" s="20">
        <f>IF($AF$62-27&lt;0,,MONTH($AA$6+306))</f>
        <v>0</v>
      </c>
      <c r="AE59" s="20">
        <f>IF($AF$62-28&lt;0,,MONTH($AA$6+307))</f>
        <v>0</v>
      </c>
      <c r="AF59" s="55" t="s">
        <v>39</v>
      </c>
      <c r="AG59" s="56"/>
      <c r="AH59" s="56"/>
      <c r="AI59" s="56"/>
      <c r="AJ59" s="56"/>
      <c r="AK59" s="56"/>
      <c r="AL59" s="56"/>
      <c r="AM59" s="57"/>
      <c r="AN59" s="58" t="s">
        <v>5</v>
      </c>
      <c r="AO59" s="58"/>
    </row>
    <row r="60" spans="2:41" ht="24" x14ac:dyDescent="0.4">
      <c r="B60" s="40"/>
      <c r="C60" s="18" t="s">
        <v>11</v>
      </c>
      <c r="D60" s="20">
        <f>IF($AF$62-1&lt;0,,DAY($AA$6+280))</f>
        <v>0</v>
      </c>
      <c r="E60" s="20">
        <f>IF($AF$62-2&lt;0,,DAY($AA$6+281))</f>
        <v>0</v>
      </c>
      <c r="F60" s="20">
        <f>IF($AF$62-3&lt;0,,DAY($AA$6+282))</f>
        <v>0</v>
      </c>
      <c r="G60" s="20">
        <f>IF($AF$62-4&lt;0,,DAY($AA$6+283))</f>
        <v>0</v>
      </c>
      <c r="H60" s="20">
        <f>IF($AF$62-5&lt;0,,DAY($AA$6+284))</f>
        <v>0</v>
      </c>
      <c r="I60" s="20">
        <f>IF($AF$62-6&lt;0,,DAY($AA$6+285))</f>
        <v>0</v>
      </c>
      <c r="J60" s="20">
        <f>IF($AF$62-7&lt;0,,DAY($AA$6+286))</f>
        <v>0</v>
      </c>
      <c r="K60" s="20">
        <f>IF($AF$62-8&lt;0,,DAY($AA$6+287))</f>
        <v>0</v>
      </c>
      <c r="L60" s="20">
        <f>IF($AF$62-9&lt;0,,DAY($AA$6+288))</f>
        <v>0</v>
      </c>
      <c r="M60" s="20">
        <f>IF($AF$62-10&lt;0,,DAY($AA$6+289))</f>
        <v>0</v>
      </c>
      <c r="N60" s="20">
        <f>IF($AF$62-11&lt;0,,DAY($AA$6+290))</f>
        <v>0</v>
      </c>
      <c r="O60" s="20">
        <f>IF($AF$62-12&lt;0,,DAY($AA$6+291))</f>
        <v>0</v>
      </c>
      <c r="P60" s="20">
        <f>IF($AF$62-13&lt;0,,DAY($AA$6+292))</f>
        <v>0</v>
      </c>
      <c r="Q60" s="20">
        <f>IF($AF$62-14&lt;0,,DAY($AA$6+293))</f>
        <v>0</v>
      </c>
      <c r="R60" s="20">
        <f>IF($AF$62-15&lt;0,,DAY($AA$6+294))</f>
        <v>0</v>
      </c>
      <c r="S60" s="20">
        <f>IF($AF$62-16&lt;0,,DAY($AA$6+295))</f>
        <v>0</v>
      </c>
      <c r="T60" s="20">
        <f>IF($AF$62-17&lt;0,,DAY($AA$6+296))</f>
        <v>0</v>
      </c>
      <c r="U60" s="20">
        <f>IF($AF$62-18&lt;0,,DAY($AA$6+297))</f>
        <v>0</v>
      </c>
      <c r="V60" s="20">
        <f>IF($AF$62-19&lt;0,,DAY($AA$6+298))</f>
        <v>0</v>
      </c>
      <c r="W60" s="20">
        <f>IF($AF$62-20&lt;0,,DAY($AA$6+299))</f>
        <v>0</v>
      </c>
      <c r="X60" s="20">
        <f>IF($AF$62-21&lt;0,,DAY($AA$6+300))</f>
        <v>0</v>
      </c>
      <c r="Y60" s="20">
        <f>IF($AF$62-22&lt;0,,DAY($AA$6+301))</f>
        <v>0</v>
      </c>
      <c r="Z60" s="20">
        <f>IF($AF$62-23&lt;0,,DAY($AA$6+302))</f>
        <v>0</v>
      </c>
      <c r="AA60" s="20">
        <f>IF($AF$62-24&lt;0,,DAY($AA$6+303))</f>
        <v>0</v>
      </c>
      <c r="AB60" s="20">
        <f>IF($AF$62-25&lt;0,,DAY($AA$6+304))</f>
        <v>0</v>
      </c>
      <c r="AC60" s="20">
        <f>IF($AF$62-26&lt;0,,DAY($AA$6+305))</f>
        <v>0</v>
      </c>
      <c r="AD60" s="20">
        <f>IF($AF$62-27&lt;0,,DAY($AA$6+306))</f>
        <v>0</v>
      </c>
      <c r="AE60" s="20">
        <f>IF($AF$62-28&lt;0,,DAY($AA$6+307))</f>
        <v>0</v>
      </c>
      <c r="AF60" s="26"/>
      <c r="AG60" s="27"/>
      <c r="AH60" s="47" t="s">
        <v>14</v>
      </c>
      <c r="AI60" s="48"/>
      <c r="AJ60" s="48"/>
      <c r="AK60" s="48"/>
      <c r="AL60" s="48"/>
      <c r="AM60" s="49"/>
      <c r="AN60" s="46"/>
      <c r="AO60" s="46"/>
    </row>
    <row r="61" spans="2:41" ht="24" x14ac:dyDescent="0.4">
      <c r="B61" s="40"/>
      <c r="C61" s="18" t="s">
        <v>16</v>
      </c>
      <c r="D61" s="18" t="str" cm="1">
        <f t="array" ref="D61">IF(D60&gt;0,_xlfn.SWITCH(AE56,"月","火","火","水","水","木","木","金","金","土","土","日","日","月"),"")</f>
        <v/>
      </c>
      <c r="E61" s="18" t="str" cm="1">
        <f t="array" ref="E61">IF(E60&gt;0,_xlfn.SWITCH(D61,"月","火","火","水","水","木","木","金","金","土","土","日","日","月"),"")</f>
        <v/>
      </c>
      <c r="F61" s="18" t="str" cm="1">
        <f t="array" ref="F61">IF(F60&gt;0,_xlfn.SWITCH(E61,"月","火","火","水","水","木","木","金","金","土","土","日","日","月"),"")</f>
        <v/>
      </c>
      <c r="G61" s="18" t="str" cm="1">
        <f t="array" ref="G61">IF(G60&gt;0,_xlfn.SWITCH(F61,"月","火","火","水","水","木","木","金","金","土","土","日","日","月"),"")</f>
        <v/>
      </c>
      <c r="H61" s="18" t="str" cm="1">
        <f t="array" ref="H61">IF(H60&gt;0,_xlfn.SWITCH(G61,"月","火","火","水","水","木","木","金","金","土","土","日","日","月"),"")</f>
        <v/>
      </c>
      <c r="I61" s="18" t="str" cm="1">
        <f t="array" ref="I61">IF(I60&gt;0,_xlfn.SWITCH(H61,"月","火","火","水","水","木","木","金","金","土","土","日","日","月"),"")</f>
        <v/>
      </c>
      <c r="J61" s="18" t="str" cm="1">
        <f t="array" ref="J61">IF(J60&gt;0,_xlfn.SWITCH(I61,"月","火","火","水","水","木","木","金","金","土","土","日","日","月"),"")</f>
        <v/>
      </c>
      <c r="K61" s="18" t="str" cm="1">
        <f t="array" ref="K61">IF(K60&gt;0,_xlfn.SWITCH(J61,"月","火","火","水","水","木","木","金","金","土","土","日","日","月"),"")</f>
        <v/>
      </c>
      <c r="L61" s="18" t="str" cm="1">
        <f t="array" ref="L61">IF(L60&gt;0,_xlfn.SWITCH(K61,"月","火","火","水","水","木","木","金","金","土","土","日","日","月"),"")</f>
        <v/>
      </c>
      <c r="M61" s="18" t="str" cm="1">
        <f t="array" ref="M61">IF(M60&gt;0,_xlfn.SWITCH(L61,"月","火","火","水","水","木","木","金","金","土","土","日","日","月"),"")</f>
        <v/>
      </c>
      <c r="N61" s="18" t="str" cm="1">
        <f t="array" ref="N61">IF(N60&gt;0,_xlfn.SWITCH(M61,"月","火","火","水","水","木","木","金","金","土","土","日","日","月"),"")</f>
        <v/>
      </c>
      <c r="O61" s="18" t="str" cm="1">
        <f t="array" ref="O61">IF(O60&gt;0,_xlfn.SWITCH(N61,"月","火","火","水","水","木","木","金","金","土","土","日","日","月"),"")</f>
        <v/>
      </c>
      <c r="P61" s="18" t="str" cm="1">
        <f t="array" ref="P61">IF(P60&gt;0,_xlfn.SWITCH(O61,"月","火","火","水","水","木","木","金","金","土","土","日","日","月"),"")</f>
        <v/>
      </c>
      <c r="Q61" s="18" t="str" cm="1">
        <f t="array" ref="Q61">IF(Q60&gt;0,_xlfn.SWITCH(P61,"月","火","火","水","水","木","木","金","金","土","土","日","日","月"),"")</f>
        <v/>
      </c>
      <c r="R61" s="18" t="str" cm="1">
        <f t="array" ref="R61">IF(R60&gt;0,_xlfn.SWITCH(Q61,"月","火","火","水","水","木","木","金","金","土","土","日","日","月"),"")</f>
        <v/>
      </c>
      <c r="S61" s="18" t="str" cm="1">
        <f t="array" ref="S61">IF(S60&gt;0,_xlfn.SWITCH(R61,"月","火","火","水","水","木","木","金","金","土","土","日","日","月"),"")</f>
        <v/>
      </c>
      <c r="T61" s="18" t="str" cm="1">
        <f t="array" ref="T61">IF(T60&gt;0,_xlfn.SWITCH(S61,"月","火","火","水","水","木","木","金","金","土","土","日","日","月"),"")</f>
        <v/>
      </c>
      <c r="U61" s="18" t="str" cm="1">
        <f t="array" ref="U61">IF(U60&gt;0,_xlfn.SWITCH(T61,"月","火","火","水","水","木","木","金","金","土","土","日","日","月"),"")</f>
        <v/>
      </c>
      <c r="V61" s="18" t="str" cm="1">
        <f t="array" ref="V61">IF(V60&gt;0,_xlfn.SWITCH(U61,"月","火","火","水","水","木","木","金","金","土","土","日","日","月"),"")</f>
        <v/>
      </c>
      <c r="W61" s="18" t="str" cm="1">
        <f t="array" ref="W61">IF(W60&gt;0,_xlfn.SWITCH(V61,"月","火","火","水","水","木","木","金","金","土","土","日","日","月"),"")</f>
        <v/>
      </c>
      <c r="X61" s="18" t="str" cm="1">
        <f t="array" ref="X61">IF(X60&gt;0,_xlfn.SWITCH(W61,"月","火","火","水","水","木","木","金","金","土","土","日","日","月"),"")</f>
        <v/>
      </c>
      <c r="Y61" s="18" t="str" cm="1">
        <f t="array" ref="Y61">IF(Y60&gt;0,_xlfn.SWITCH(X61,"月","火","火","水","水","木","木","金","金","土","土","日","日","月"),"")</f>
        <v/>
      </c>
      <c r="Z61" s="18" t="str" cm="1">
        <f t="array" ref="Z61">IF(Z60&gt;0,_xlfn.SWITCH(Y61,"月","火","火","水","水","木","木","金","金","土","土","日","日","月"),"")</f>
        <v/>
      </c>
      <c r="AA61" s="18" t="str" cm="1">
        <f t="array" ref="AA61">IF(AA60&gt;0,_xlfn.SWITCH(Z61,"月","火","火","水","水","木","木","金","金","土","土","日","日","月"),"")</f>
        <v/>
      </c>
      <c r="AB61" s="18" t="str" cm="1">
        <f t="array" ref="AB61">IF(AB60&gt;0,_xlfn.SWITCH(AA61,"月","火","火","水","水","木","木","金","金","土","土","日","日","月"),"")</f>
        <v/>
      </c>
      <c r="AC61" s="18" t="str" cm="1">
        <f t="array" ref="AC61">IF(AC60&gt;0,_xlfn.SWITCH(AB61,"月","火","火","水","水","木","木","金","金","土","土","日","日","月"),"")</f>
        <v/>
      </c>
      <c r="AD61" s="18" t="str" cm="1">
        <f t="array" ref="AD61">IF(AD60&gt;0,_xlfn.SWITCH(AC61,"月","火","火","水","水","木","木","金","金","土","土","日","日","月"),"")</f>
        <v/>
      </c>
      <c r="AE61" s="18" t="str" cm="1">
        <f t="array" ref="AE61">IF(AE60&gt;0,_xlfn.SWITCH(AD61,"月","火","火","水","水","木","木","金","金","土","土","日","日","月"),"")</f>
        <v/>
      </c>
      <c r="AF61" s="28"/>
      <c r="AG61" s="7"/>
      <c r="AH61" s="11"/>
      <c r="AI61" s="7"/>
      <c r="AJ61" s="50" t="s">
        <v>12</v>
      </c>
      <c r="AK61" s="51"/>
      <c r="AL61" s="51"/>
      <c r="AM61" s="52"/>
      <c r="AN61" s="46"/>
      <c r="AO61" s="46"/>
    </row>
    <row r="62" spans="2:41" ht="24" x14ac:dyDescent="0.4">
      <c r="B62" s="40"/>
      <c r="C62" s="15" t="s">
        <v>0</v>
      </c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31">
        <f>IF(_xlfn.DAYS(AI6,AA6)+1-280&gt;=28,28,IF(_xlfn.DAYS(AI6,AA6)+1-280&lt;0,0,_xlfn.DAYS(AI6,AA6)+1-280))</f>
        <v>0</v>
      </c>
      <c r="AG62" s="33"/>
      <c r="AH62" s="53">
        <f>AF62-COUNTIF(D62:AE62,"×")</f>
        <v>0</v>
      </c>
      <c r="AI62" s="54"/>
      <c r="AJ62" s="31">
        <f>COUNTIF(D62:AE62,"●")</f>
        <v>0</v>
      </c>
      <c r="AK62" s="32"/>
      <c r="AL62" s="32"/>
      <c r="AM62" s="33"/>
      <c r="AN62" s="34" t="e">
        <f>AJ62/AH62</f>
        <v>#DIV/0!</v>
      </c>
      <c r="AO62" s="34"/>
    </row>
    <row r="63" spans="2:41" ht="24.75" thickBot="1" x14ac:dyDescent="0.45">
      <c r="B63" s="41"/>
      <c r="C63" s="12" t="s">
        <v>1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35">
        <f>IF(_xlfn.DAYS(AI6,AA6)+1-280&gt;=28,28,IF(_xlfn.DAYS(AI6,AA6)+1-280&lt;0,0,_xlfn.DAYS(AI6,AA6)+1-280))</f>
        <v>0</v>
      </c>
      <c r="AG63" s="36"/>
      <c r="AH63" s="35">
        <f>AF63-COUNTIF(D63:AE63,"×")</f>
        <v>0</v>
      </c>
      <c r="AI63" s="36"/>
      <c r="AJ63" s="35">
        <f>COUNTIF(D63:AE63,"●")</f>
        <v>0</v>
      </c>
      <c r="AK63" s="37"/>
      <c r="AL63" s="37"/>
      <c r="AM63" s="36"/>
      <c r="AN63" s="38" t="e">
        <f>AJ63/AH63</f>
        <v>#DIV/0!</v>
      </c>
      <c r="AO63" s="38"/>
    </row>
    <row r="64" spans="2:41" ht="24" x14ac:dyDescent="0.4">
      <c r="B64" s="40" t="s">
        <v>30</v>
      </c>
      <c r="C64" s="16" t="s">
        <v>15</v>
      </c>
      <c r="D64" s="20">
        <f>IF($AF$67-1&lt;0,,MONTH($AA$6+308))</f>
        <v>0</v>
      </c>
      <c r="E64" s="20">
        <f>IF($AF$67-2&lt;0,,MONTH($AA$6+309))</f>
        <v>0</v>
      </c>
      <c r="F64" s="20">
        <f>IF($AF$67-3&lt;0,,MONTH($AA$6+310))</f>
        <v>0</v>
      </c>
      <c r="G64" s="20">
        <f>IF($AF$67-4&lt;0,,MONTH($AA$6+311))</f>
        <v>0</v>
      </c>
      <c r="H64" s="20">
        <f>IF($AF$67-5&lt;0,,MONTH($AA$6+312))</f>
        <v>0</v>
      </c>
      <c r="I64" s="20">
        <f>IF($AF$67-6&lt;0,,MONTH($AA$6+313))</f>
        <v>0</v>
      </c>
      <c r="J64" s="20">
        <f>IF($AF$67-7&lt;0,,MONTH($AA$6+314))</f>
        <v>0</v>
      </c>
      <c r="K64" s="20">
        <f>IF($AF$67-8&lt;0,,MONTH($AA$6+315))</f>
        <v>0</v>
      </c>
      <c r="L64" s="20">
        <f>IF($AF$67-9&lt;0,,MONTH($AA$6+316))</f>
        <v>0</v>
      </c>
      <c r="M64" s="20">
        <f>IF($AF$67-10&lt;0,,MONTH($AA$6+317))</f>
        <v>0</v>
      </c>
      <c r="N64" s="20">
        <f>IF($AF$67-11&lt;0,,MONTH($AA$6+318))</f>
        <v>0</v>
      </c>
      <c r="O64" s="20">
        <f>IF($AF$67-12&lt;0,,MONTH($AA$6+319))</f>
        <v>0</v>
      </c>
      <c r="P64" s="20">
        <f>IF($AF$67-13&lt;0,,MONTH($AA$6+320))</f>
        <v>0</v>
      </c>
      <c r="Q64" s="20">
        <f>IF($AF$67-14&lt;0,,MONTH($AA$6+321))</f>
        <v>0</v>
      </c>
      <c r="R64" s="20">
        <f>IF($AF$67-15&lt;0,,MONTH($AA$6+322))</f>
        <v>0</v>
      </c>
      <c r="S64" s="20">
        <f>IF($AF$67-16&lt;0,,MONTH($AA$6+323))</f>
        <v>0</v>
      </c>
      <c r="T64" s="20">
        <f>IF($AF$67-17&lt;0,,MONTH($AA$6+324))</f>
        <v>0</v>
      </c>
      <c r="U64" s="20">
        <f>IF($AF$67-18&lt;0,,MONTH($AA$6+325))</f>
        <v>0</v>
      </c>
      <c r="V64" s="20">
        <f>IF($AF$67-19&lt;0,,MONTH($AA$6+326))</f>
        <v>0</v>
      </c>
      <c r="W64" s="20">
        <f>IF($AF$67-20&lt;0,,MONTH($AA$6+327))</f>
        <v>0</v>
      </c>
      <c r="X64" s="20">
        <f>IF($AF$67-21&lt;0,,MONTH($AA$6+328))</f>
        <v>0</v>
      </c>
      <c r="Y64" s="20">
        <f>IF($AF$67-22&lt;0,,MONTH($AA$6+329))</f>
        <v>0</v>
      </c>
      <c r="Z64" s="20">
        <f>IF($AF$67-23&lt;0,,MONTH($AA$6+330))</f>
        <v>0</v>
      </c>
      <c r="AA64" s="20">
        <f>IF($AF$67-24&lt;0,,MONTH($AA$6+331))</f>
        <v>0</v>
      </c>
      <c r="AB64" s="20">
        <f>IF($AF$67-25&lt;0,,MONTH($AA$6+332))</f>
        <v>0</v>
      </c>
      <c r="AC64" s="20">
        <f>IF($AF$67-26&lt;0,,MONTH($AA$6+333))</f>
        <v>0</v>
      </c>
      <c r="AD64" s="20">
        <f>IF($AF$67-27&lt;0,,MONTH($AA$6+334))</f>
        <v>0</v>
      </c>
      <c r="AE64" s="20">
        <f>IF($AF$67-28&lt;0,,MONTH($AA$6+335))</f>
        <v>0</v>
      </c>
      <c r="AF64" s="55" t="s">
        <v>39</v>
      </c>
      <c r="AG64" s="56"/>
      <c r="AH64" s="56"/>
      <c r="AI64" s="56"/>
      <c r="AJ64" s="56"/>
      <c r="AK64" s="56"/>
      <c r="AL64" s="56"/>
      <c r="AM64" s="57"/>
      <c r="AN64" s="58" t="s">
        <v>5</v>
      </c>
      <c r="AO64" s="58"/>
    </row>
    <row r="65" spans="2:41" ht="24" x14ac:dyDescent="0.4">
      <c r="B65" s="40"/>
      <c r="C65" s="18" t="s">
        <v>11</v>
      </c>
      <c r="D65" s="20">
        <f>IF($AF$67-1&lt;0,,DAY($AA$6+308))</f>
        <v>0</v>
      </c>
      <c r="E65" s="20">
        <f>IF($AF$67-2&lt;0,,DAY($AA$6+309))</f>
        <v>0</v>
      </c>
      <c r="F65" s="20">
        <f>IF($AF$67-3&lt;0,,DAY($AA$6+310))</f>
        <v>0</v>
      </c>
      <c r="G65" s="20">
        <f>IF($AF$67-4&lt;0,,DAY($AA$6+311))</f>
        <v>0</v>
      </c>
      <c r="H65" s="20">
        <f>IF($AF$67-5&lt;0,,DAY($AA$6+312))</f>
        <v>0</v>
      </c>
      <c r="I65" s="20">
        <f>IF($AF$67-6&lt;0,,DAY($AA$6+313))</f>
        <v>0</v>
      </c>
      <c r="J65" s="20">
        <f>IF($AF$67-7&lt;0,,DAY($AA$6+314))</f>
        <v>0</v>
      </c>
      <c r="K65" s="20">
        <f>IF($AF$67-8&lt;0,,DAY($AA$6+315))</f>
        <v>0</v>
      </c>
      <c r="L65" s="20">
        <f>IF($AF$67-9&lt;0,,DAY($AA$6+316))</f>
        <v>0</v>
      </c>
      <c r="M65" s="20">
        <f>IF($AF$67-10&lt;0,,DAY($AA$6+317))</f>
        <v>0</v>
      </c>
      <c r="N65" s="20">
        <f>IF($AF$67-11&lt;0,,DAY($AA$6+318))</f>
        <v>0</v>
      </c>
      <c r="O65" s="20">
        <f>IF($AF$67-12&lt;0,,DAY($AA$6+319))</f>
        <v>0</v>
      </c>
      <c r="P65" s="20">
        <f>IF($AF$67-13&lt;0,,DAY($AA$6+320))</f>
        <v>0</v>
      </c>
      <c r="Q65" s="20">
        <f>IF($AF$67-14&lt;0,,DAY($AA$6+321))</f>
        <v>0</v>
      </c>
      <c r="R65" s="20">
        <f>IF($AF$67-15&lt;0,,DAY($AA$6+322))</f>
        <v>0</v>
      </c>
      <c r="S65" s="20">
        <f>IF($AF$67-16&lt;0,,DAY($AA$6+323))</f>
        <v>0</v>
      </c>
      <c r="T65" s="20">
        <f>IF($AF$67-17&lt;0,,DAY($AA$6+324))</f>
        <v>0</v>
      </c>
      <c r="U65" s="20">
        <f>IF($AF$67-18&lt;0,,DAY($AA$6+325))</f>
        <v>0</v>
      </c>
      <c r="V65" s="20">
        <f>IF($AF$67-19&lt;0,,DAY($AA$6+326))</f>
        <v>0</v>
      </c>
      <c r="W65" s="20">
        <f>IF($AF$67-20&lt;0,,DAY($AA$6+327))</f>
        <v>0</v>
      </c>
      <c r="X65" s="20">
        <f>IF($AF$67-21&lt;0,,DAY($AA$6+328))</f>
        <v>0</v>
      </c>
      <c r="Y65" s="20">
        <f>IF($AF$67-22&lt;0,,DAY($AA$6+329))</f>
        <v>0</v>
      </c>
      <c r="Z65" s="20">
        <f>IF($AF$67-23&lt;0,,DAY($AA$6+330))</f>
        <v>0</v>
      </c>
      <c r="AA65" s="20">
        <f>IF($AF$67-24&lt;0,,DAY($AA$6+331))</f>
        <v>0</v>
      </c>
      <c r="AB65" s="20">
        <f>IF($AF$67-25&lt;0,,DAY($AA$6+332))</f>
        <v>0</v>
      </c>
      <c r="AC65" s="20">
        <f>IF($AF$67-26&lt;0,,DAY($AA$6+333))</f>
        <v>0</v>
      </c>
      <c r="AD65" s="20">
        <f>IF($AF$67-27&lt;0,,DAY($AA$6+334))</f>
        <v>0</v>
      </c>
      <c r="AE65" s="20">
        <f>IF($AF$67-28&lt;0,,DAY($AA$6+335))</f>
        <v>0</v>
      </c>
      <c r="AF65" s="26"/>
      <c r="AG65" s="27"/>
      <c r="AH65" s="47" t="s">
        <v>14</v>
      </c>
      <c r="AI65" s="48"/>
      <c r="AJ65" s="48"/>
      <c r="AK65" s="48"/>
      <c r="AL65" s="48"/>
      <c r="AM65" s="49"/>
      <c r="AN65" s="46"/>
      <c r="AO65" s="46"/>
    </row>
    <row r="66" spans="2:41" ht="24" x14ac:dyDescent="0.4">
      <c r="B66" s="40"/>
      <c r="C66" s="18" t="s">
        <v>16</v>
      </c>
      <c r="D66" s="18" t="str" cm="1">
        <f t="array" ref="D66">IF(D65&gt;0,_xlfn.SWITCH(AE61,"月","火","火","水","水","木","木","金","金","土","土","日","日","月"),"")</f>
        <v/>
      </c>
      <c r="E66" s="18" t="str" cm="1">
        <f t="array" ref="E66">IF(E65&gt;0,_xlfn.SWITCH(D66,"月","火","火","水","水","木","木","金","金","土","土","日","日","月"),"")</f>
        <v/>
      </c>
      <c r="F66" s="18" t="str" cm="1">
        <f t="array" ref="F66">IF(F65&gt;0,_xlfn.SWITCH(E66,"月","火","火","水","水","木","木","金","金","土","土","日","日","月"),"")</f>
        <v/>
      </c>
      <c r="G66" s="18" t="str" cm="1">
        <f t="array" ref="G66">IF(G65&gt;0,_xlfn.SWITCH(F66,"月","火","火","水","水","木","木","金","金","土","土","日","日","月"),"")</f>
        <v/>
      </c>
      <c r="H66" s="18" t="str" cm="1">
        <f t="array" ref="H66">IF(H65&gt;0,_xlfn.SWITCH(G66,"月","火","火","水","水","木","木","金","金","土","土","日","日","月"),"")</f>
        <v/>
      </c>
      <c r="I66" s="18" t="str" cm="1">
        <f t="array" ref="I66">IF(I65&gt;0,_xlfn.SWITCH(H66,"月","火","火","水","水","木","木","金","金","土","土","日","日","月"),"")</f>
        <v/>
      </c>
      <c r="J66" s="18" t="str" cm="1">
        <f t="array" ref="J66">IF(J65&gt;0,_xlfn.SWITCH(I66,"月","火","火","水","水","木","木","金","金","土","土","日","日","月"),"")</f>
        <v/>
      </c>
      <c r="K66" s="18" t="str" cm="1">
        <f t="array" ref="K66">IF(K65&gt;0,_xlfn.SWITCH(J66,"月","火","火","水","水","木","木","金","金","土","土","日","日","月"),"")</f>
        <v/>
      </c>
      <c r="L66" s="18" t="str" cm="1">
        <f t="array" ref="L66">IF(L65&gt;0,_xlfn.SWITCH(K66,"月","火","火","水","水","木","木","金","金","土","土","日","日","月"),"")</f>
        <v/>
      </c>
      <c r="M66" s="18" t="str" cm="1">
        <f t="array" ref="M66">IF(M65&gt;0,_xlfn.SWITCH(L66,"月","火","火","水","水","木","木","金","金","土","土","日","日","月"),"")</f>
        <v/>
      </c>
      <c r="N66" s="18" t="str" cm="1">
        <f t="array" ref="N66">IF(N65&gt;0,_xlfn.SWITCH(M66,"月","火","火","水","水","木","木","金","金","土","土","日","日","月"),"")</f>
        <v/>
      </c>
      <c r="O66" s="18" t="str" cm="1">
        <f t="array" ref="O66">IF(O65&gt;0,_xlfn.SWITCH(N66,"月","火","火","水","水","木","木","金","金","土","土","日","日","月"),"")</f>
        <v/>
      </c>
      <c r="P66" s="18" t="str" cm="1">
        <f t="array" ref="P66">IF(P65&gt;0,_xlfn.SWITCH(O66,"月","火","火","水","水","木","木","金","金","土","土","日","日","月"),"")</f>
        <v/>
      </c>
      <c r="Q66" s="18" t="str" cm="1">
        <f t="array" ref="Q66">IF(Q65&gt;0,_xlfn.SWITCH(P66,"月","火","火","水","水","木","木","金","金","土","土","日","日","月"),"")</f>
        <v/>
      </c>
      <c r="R66" s="18" t="str" cm="1">
        <f t="array" ref="R66">IF(R65&gt;0,_xlfn.SWITCH(Q66,"月","火","火","水","水","木","木","金","金","土","土","日","日","月"),"")</f>
        <v/>
      </c>
      <c r="S66" s="18" t="str" cm="1">
        <f t="array" ref="S66">IF(S65&gt;0,_xlfn.SWITCH(R66,"月","火","火","水","水","木","木","金","金","土","土","日","日","月"),"")</f>
        <v/>
      </c>
      <c r="T66" s="18" t="str" cm="1">
        <f t="array" ref="T66">IF(T65&gt;0,_xlfn.SWITCH(S66,"月","火","火","水","水","木","木","金","金","土","土","日","日","月"),"")</f>
        <v/>
      </c>
      <c r="U66" s="18" t="str" cm="1">
        <f t="array" ref="U66">IF(U65&gt;0,_xlfn.SWITCH(T66,"月","火","火","水","水","木","木","金","金","土","土","日","日","月"),"")</f>
        <v/>
      </c>
      <c r="V66" s="18" t="str" cm="1">
        <f t="array" ref="V66">IF(V65&gt;0,_xlfn.SWITCH(U66,"月","火","火","水","水","木","木","金","金","土","土","日","日","月"),"")</f>
        <v/>
      </c>
      <c r="W66" s="18" t="str" cm="1">
        <f t="array" ref="W66">IF(W65&gt;0,_xlfn.SWITCH(V66,"月","火","火","水","水","木","木","金","金","土","土","日","日","月"),"")</f>
        <v/>
      </c>
      <c r="X66" s="18" t="str" cm="1">
        <f t="array" ref="X66">IF(X65&gt;0,_xlfn.SWITCH(W66,"月","火","火","水","水","木","木","金","金","土","土","日","日","月"),"")</f>
        <v/>
      </c>
      <c r="Y66" s="18" t="str" cm="1">
        <f t="array" ref="Y66">IF(Y65&gt;0,_xlfn.SWITCH(X66,"月","火","火","水","水","木","木","金","金","土","土","日","日","月"),"")</f>
        <v/>
      </c>
      <c r="Z66" s="18" t="str" cm="1">
        <f t="array" ref="Z66">IF(Z65&gt;0,_xlfn.SWITCH(Y66,"月","火","火","水","水","木","木","金","金","土","土","日","日","月"),"")</f>
        <v/>
      </c>
      <c r="AA66" s="18" t="str" cm="1">
        <f t="array" ref="AA66">IF(AA65&gt;0,_xlfn.SWITCH(Z66,"月","火","火","水","水","木","木","金","金","土","土","日","日","月"),"")</f>
        <v/>
      </c>
      <c r="AB66" s="18" t="str" cm="1">
        <f t="array" ref="AB66">IF(AB65&gt;0,_xlfn.SWITCH(AA66,"月","火","火","水","水","木","木","金","金","土","土","日","日","月"),"")</f>
        <v/>
      </c>
      <c r="AC66" s="18" t="str" cm="1">
        <f t="array" ref="AC66">IF(AC65&gt;0,_xlfn.SWITCH(AB66,"月","火","火","水","水","木","木","金","金","土","土","日","日","月"),"")</f>
        <v/>
      </c>
      <c r="AD66" s="18" t="str" cm="1">
        <f t="array" ref="AD66">IF(AD65&gt;0,_xlfn.SWITCH(AC66,"月","火","火","水","水","木","木","金","金","土","土","日","日","月"),"")</f>
        <v/>
      </c>
      <c r="AE66" s="18" t="str" cm="1">
        <f t="array" ref="AE66">IF(AE65&gt;0,_xlfn.SWITCH(AD66,"月","火","火","水","水","木","木","金","金","土","土","日","日","月"),"")</f>
        <v/>
      </c>
      <c r="AF66" s="28"/>
      <c r="AG66" s="7"/>
      <c r="AH66" s="11"/>
      <c r="AI66" s="7"/>
      <c r="AJ66" s="50" t="s">
        <v>12</v>
      </c>
      <c r="AK66" s="51"/>
      <c r="AL66" s="51"/>
      <c r="AM66" s="52"/>
      <c r="AN66" s="46"/>
      <c r="AO66" s="46"/>
    </row>
    <row r="67" spans="2:41" ht="24" x14ac:dyDescent="0.4">
      <c r="B67" s="40"/>
      <c r="C67" s="15" t="s">
        <v>0</v>
      </c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31">
        <f>IF(_xlfn.DAYS(AI6,AA6)+1-308&gt;=28,28,IF(_xlfn.DAYS(AI6,AA6)+1-308&lt;0,0,_xlfn.DAYS(AI6,AA6)+1-308))</f>
        <v>0</v>
      </c>
      <c r="AG67" s="33"/>
      <c r="AH67" s="53">
        <f>AF67-COUNTIF(D67:AE67,"×")</f>
        <v>0</v>
      </c>
      <c r="AI67" s="54"/>
      <c r="AJ67" s="31">
        <f>COUNTIF(D67:AE67,"●")</f>
        <v>0</v>
      </c>
      <c r="AK67" s="32"/>
      <c r="AL67" s="32"/>
      <c r="AM67" s="33"/>
      <c r="AN67" s="34" t="e">
        <f>AJ67/AH67</f>
        <v>#DIV/0!</v>
      </c>
      <c r="AO67" s="34"/>
    </row>
    <row r="68" spans="2:41" ht="24.75" thickBot="1" x14ac:dyDescent="0.45">
      <c r="B68" s="41"/>
      <c r="C68" s="12" t="s">
        <v>1</v>
      </c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35">
        <f>IF(_xlfn.DAYS(AI6,AA6)+1-308&gt;=28,28,IF(_xlfn.DAYS(AI6,AA6)+1-308&lt;0,0,_xlfn.DAYS(AI6,AA6)+1-308))</f>
        <v>0</v>
      </c>
      <c r="AG68" s="36"/>
      <c r="AH68" s="35">
        <f>AF68-COUNTIF(D68:AE68,"×")</f>
        <v>0</v>
      </c>
      <c r="AI68" s="36"/>
      <c r="AJ68" s="35">
        <f>COUNTIF(D68:AE68,"●")</f>
        <v>0</v>
      </c>
      <c r="AK68" s="37"/>
      <c r="AL68" s="37"/>
      <c r="AM68" s="36"/>
      <c r="AN68" s="38" t="e">
        <f>AJ68/AH68</f>
        <v>#DIV/0!</v>
      </c>
      <c r="AO68" s="38"/>
    </row>
    <row r="69" spans="2:41" ht="24" x14ac:dyDescent="0.4">
      <c r="B69" s="40" t="s">
        <v>31</v>
      </c>
      <c r="C69" s="16" t="s">
        <v>15</v>
      </c>
      <c r="D69" s="20">
        <f>IF($AF$72-1&lt;0,,MONTH($AA$6+336))</f>
        <v>0</v>
      </c>
      <c r="E69" s="20">
        <f>IF($AF$72-2&lt;0,,MONTH($AA$6+337))</f>
        <v>0</v>
      </c>
      <c r="F69" s="20">
        <f>IF($AF$72-3&lt;0,,MONTH($AA$6+338))</f>
        <v>0</v>
      </c>
      <c r="G69" s="20">
        <f>IF($AF$72-4&lt;0,,MONTH($AA$6+339))</f>
        <v>0</v>
      </c>
      <c r="H69" s="20">
        <f>IF($AF$72-5&lt;0,,MONTH($AA$6+340))</f>
        <v>0</v>
      </c>
      <c r="I69" s="20">
        <f>IF($AF$72-6&lt;0,,MONTH($AA$6+341))</f>
        <v>0</v>
      </c>
      <c r="J69" s="20">
        <f>IF($AF$72-7&lt;0,,MONTH($AA$6+342))</f>
        <v>0</v>
      </c>
      <c r="K69" s="20">
        <f>IF($AF$72-8&lt;0,,MONTH($AA$6+343))</f>
        <v>0</v>
      </c>
      <c r="L69" s="20">
        <f>IF($AF$72-9&lt;0,,MONTH($AA$6+344))</f>
        <v>0</v>
      </c>
      <c r="M69" s="20">
        <f>IF($AF$72-10&lt;0,,MONTH($AA$6+345))</f>
        <v>0</v>
      </c>
      <c r="N69" s="20">
        <f>IF($AF$72-11&lt;0,,MONTH($AA$6+346))</f>
        <v>0</v>
      </c>
      <c r="O69" s="20">
        <f>IF($AF$72-12&lt;0,,MONTH($AA$6+347))</f>
        <v>0</v>
      </c>
      <c r="P69" s="20">
        <f>IF($AF$72-13&lt;0,,MONTH($AA$6+348))</f>
        <v>0</v>
      </c>
      <c r="Q69" s="20">
        <f>IF($AF$72-14&lt;0,,MONTH($AA$6+349))</f>
        <v>0</v>
      </c>
      <c r="R69" s="20">
        <f>IF($AF$72-15&lt;0,,MONTH($AA$6+350))</f>
        <v>0</v>
      </c>
      <c r="S69" s="20">
        <f>IF($AF$72-16&lt;0,,MONTH($AA$6+351))</f>
        <v>0</v>
      </c>
      <c r="T69" s="20">
        <f>IF($AF$72-17&lt;0,,MONTH($AA$6+352))</f>
        <v>0</v>
      </c>
      <c r="U69" s="20">
        <f>IF($AF$72-18&lt;0,,MONTH($AA$6+353))</f>
        <v>0</v>
      </c>
      <c r="V69" s="20">
        <f>IF($AF$72-19&lt;0,,MONTH($AA$6+354))</f>
        <v>0</v>
      </c>
      <c r="W69" s="20">
        <f>IF($AF$72-20&lt;0,,MONTH($AA$6+355))</f>
        <v>0</v>
      </c>
      <c r="X69" s="20">
        <f>IF($AF$72-21&lt;0,,MONTH($AA$6+356))</f>
        <v>0</v>
      </c>
      <c r="Y69" s="20">
        <f>IF($AF$72-22&lt;0,,MONTH($AA$6+357))</f>
        <v>0</v>
      </c>
      <c r="Z69" s="20">
        <f>IF($AF$72-23&lt;0,,MONTH($AA$6+358))</f>
        <v>0</v>
      </c>
      <c r="AA69" s="20">
        <f>IF($AF$72-24&lt;0,,MONTH($AA$6+359))</f>
        <v>0</v>
      </c>
      <c r="AB69" s="20">
        <f>IF($AF$72-25&lt;0,,MONTH($AA$6+360))</f>
        <v>0</v>
      </c>
      <c r="AC69" s="20">
        <f>IF($AF$72-26&lt;0,,MONTH($AA$6+361))</f>
        <v>0</v>
      </c>
      <c r="AD69" s="20">
        <f>IF($AF$72-27&lt;0,,MONTH($AA$6+362))</f>
        <v>0</v>
      </c>
      <c r="AE69" s="20">
        <f>IF($AF$72-28&lt;0,,MONTH($AA$6+363))</f>
        <v>0</v>
      </c>
      <c r="AF69" s="55" t="s">
        <v>39</v>
      </c>
      <c r="AG69" s="56"/>
      <c r="AH69" s="56"/>
      <c r="AI69" s="56"/>
      <c r="AJ69" s="56"/>
      <c r="AK69" s="56"/>
      <c r="AL69" s="56"/>
      <c r="AM69" s="57"/>
      <c r="AN69" s="58" t="s">
        <v>5</v>
      </c>
      <c r="AO69" s="58"/>
    </row>
    <row r="70" spans="2:41" ht="24" x14ac:dyDescent="0.4">
      <c r="B70" s="40"/>
      <c r="C70" s="18" t="s">
        <v>11</v>
      </c>
      <c r="D70" s="20">
        <f>IF($AF$72-1&lt;0,,DAY($AA$6+336))</f>
        <v>0</v>
      </c>
      <c r="E70" s="20">
        <f>IF($AF$72-2&lt;0,,DAY($AA$6+337))</f>
        <v>0</v>
      </c>
      <c r="F70" s="20">
        <f>IF($AF$72-3&lt;0,,DAY($AA$6+338))</f>
        <v>0</v>
      </c>
      <c r="G70" s="20">
        <f>IF($AF$72-4&lt;0,,DAY($AA$6+339))</f>
        <v>0</v>
      </c>
      <c r="H70" s="20">
        <f>IF($AF$72-5&lt;0,,DAY($AA$6+340))</f>
        <v>0</v>
      </c>
      <c r="I70" s="20">
        <f>IF($AF$72-6&lt;0,,DAY($AA$6+341))</f>
        <v>0</v>
      </c>
      <c r="J70" s="20">
        <f>IF($AF$72-7&lt;0,,DAY($AA$6+342))</f>
        <v>0</v>
      </c>
      <c r="K70" s="20">
        <f>IF($AF$72-8&lt;0,,DAY($AA$6+343))</f>
        <v>0</v>
      </c>
      <c r="L70" s="20">
        <f>IF($AF$72-9&lt;0,,DAY($AA$6+344))</f>
        <v>0</v>
      </c>
      <c r="M70" s="20">
        <f>IF($AF$72-10&lt;0,,DAY($AA$6+345))</f>
        <v>0</v>
      </c>
      <c r="N70" s="20">
        <f>IF($AF$72-11&lt;0,,DAY($AA$6+346))</f>
        <v>0</v>
      </c>
      <c r="O70" s="20">
        <f>IF($AF$72-12&lt;0,,DAY($AA$6+347))</f>
        <v>0</v>
      </c>
      <c r="P70" s="20">
        <f>IF($AF$72-13&lt;0,,DAY($AA$6+348))</f>
        <v>0</v>
      </c>
      <c r="Q70" s="20">
        <f>IF($AF$72-14&lt;0,,DAY($AA$6+349))</f>
        <v>0</v>
      </c>
      <c r="R70" s="20">
        <f>IF($AF$72-15&lt;0,,DAY($AA$6+350))</f>
        <v>0</v>
      </c>
      <c r="S70" s="20">
        <f>IF($AF$72-16&lt;0,,DAY($AA$6+351))</f>
        <v>0</v>
      </c>
      <c r="T70" s="20">
        <f>IF($AF$72-17&lt;0,,DAY($AA$6+352))</f>
        <v>0</v>
      </c>
      <c r="U70" s="20">
        <f>IF($AF$72-18&lt;0,,DAY($AA$6+353))</f>
        <v>0</v>
      </c>
      <c r="V70" s="20">
        <f>IF($AF$72-19&lt;0,,DAY($AA$6+354))</f>
        <v>0</v>
      </c>
      <c r="W70" s="20">
        <f>IF($AF$72-20&lt;0,,DAY($AA$6+355))</f>
        <v>0</v>
      </c>
      <c r="X70" s="20">
        <f>IF($AF$72-21&lt;0,,DAY($AA$6+356))</f>
        <v>0</v>
      </c>
      <c r="Y70" s="20">
        <f>IF($AF$72-22&lt;0,,DAY($AA$6+357))</f>
        <v>0</v>
      </c>
      <c r="Z70" s="20">
        <f>IF($AF$72-23&lt;0,,DAY($AA$6+358))</f>
        <v>0</v>
      </c>
      <c r="AA70" s="20">
        <f>IF($AF$72-24&lt;0,,DAY($AA$6+359))</f>
        <v>0</v>
      </c>
      <c r="AB70" s="20">
        <f>IF($AF$72-25&lt;0,,DAY($AA$6+360))</f>
        <v>0</v>
      </c>
      <c r="AC70" s="20">
        <f>IF($AF$72-26&lt;0,,DAY($AA$6+361))</f>
        <v>0</v>
      </c>
      <c r="AD70" s="20">
        <f>IF($AF$72-27&lt;0,,DAY($AA$6+362))</f>
        <v>0</v>
      </c>
      <c r="AE70" s="20">
        <f>IF($AF$72-28&lt;0,,DAY($AA$6+363))</f>
        <v>0</v>
      </c>
      <c r="AF70" s="26"/>
      <c r="AG70" s="27"/>
      <c r="AH70" s="47" t="s">
        <v>14</v>
      </c>
      <c r="AI70" s="48"/>
      <c r="AJ70" s="48"/>
      <c r="AK70" s="48"/>
      <c r="AL70" s="48"/>
      <c r="AM70" s="49"/>
      <c r="AN70" s="46"/>
      <c r="AO70" s="46"/>
    </row>
    <row r="71" spans="2:41" ht="24" x14ac:dyDescent="0.4">
      <c r="B71" s="40"/>
      <c r="C71" s="18" t="s">
        <v>16</v>
      </c>
      <c r="D71" s="18" t="str" cm="1">
        <f t="array" ref="D71">IF(D70&gt;0,_xlfn.SWITCH(AE66,"月","火","火","水","水","木","木","金","金","土","土","日","日","月"),"")</f>
        <v/>
      </c>
      <c r="E71" s="18" t="str" cm="1">
        <f t="array" ref="E71">IF(E70&gt;0,_xlfn.SWITCH(D71,"月","火","火","水","水","木","木","金","金","土","土","日","日","月"),"")</f>
        <v/>
      </c>
      <c r="F71" s="18" t="str" cm="1">
        <f t="array" ref="F71">IF(F70&gt;0,_xlfn.SWITCH(E71,"月","火","火","水","水","木","木","金","金","土","土","日","日","月"),"")</f>
        <v/>
      </c>
      <c r="G71" s="18" t="str" cm="1">
        <f t="array" ref="G71">IF(G70&gt;0,_xlfn.SWITCH(F71,"月","火","火","水","水","木","木","金","金","土","土","日","日","月"),"")</f>
        <v/>
      </c>
      <c r="H71" s="18" t="str" cm="1">
        <f t="array" ref="H71">IF(H70&gt;0,_xlfn.SWITCH(G71,"月","火","火","水","水","木","木","金","金","土","土","日","日","月"),"")</f>
        <v/>
      </c>
      <c r="I71" s="18" t="str" cm="1">
        <f t="array" ref="I71">IF(I70&gt;0,_xlfn.SWITCH(H71,"月","火","火","水","水","木","木","金","金","土","土","日","日","月"),"")</f>
        <v/>
      </c>
      <c r="J71" s="18" t="str" cm="1">
        <f t="array" ref="J71">IF(J70&gt;0,_xlfn.SWITCH(I71,"月","火","火","水","水","木","木","金","金","土","土","日","日","月"),"")</f>
        <v/>
      </c>
      <c r="K71" s="18" t="str" cm="1">
        <f t="array" ref="K71">IF(K70&gt;0,_xlfn.SWITCH(J71,"月","火","火","水","水","木","木","金","金","土","土","日","日","月"),"")</f>
        <v/>
      </c>
      <c r="L71" s="18" t="str" cm="1">
        <f t="array" ref="L71">IF(L70&gt;0,_xlfn.SWITCH(K71,"月","火","火","水","水","木","木","金","金","土","土","日","日","月"),"")</f>
        <v/>
      </c>
      <c r="M71" s="18" t="str" cm="1">
        <f t="array" ref="M71">IF(M70&gt;0,_xlfn.SWITCH(L71,"月","火","火","水","水","木","木","金","金","土","土","日","日","月"),"")</f>
        <v/>
      </c>
      <c r="N71" s="18" t="str" cm="1">
        <f t="array" ref="N71">IF(N70&gt;0,_xlfn.SWITCH(M71,"月","火","火","水","水","木","木","金","金","土","土","日","日","月"),"")</f>
        <v/>
      </c>
      <c r="O71" s="18" t="str" cm="1">
        <f t="array" ref="O71">IF(O70&gt;0,_xlfn.SWITCH(N71,"月","火","火","水","水","木","木","金","金","土","土","日","日","月"),"")</f>
        <v/>
      </c>
      <c r="P71" s="18" t="str" cm="1">
        <f t="array" ref="P71">IF(P70&gt;0,_xlfn.SWITCH(O71,"月","火","火","水","水","木","木","金","金","土","土","日","日","月"),"")</f>
        <v/>
      </c>
      <c r="Q71" s="18" t="str" cm="1">
        <f t="array" ref="Q71">IF(Q70&gt;0,_xlfn.SWITCH(P71,"月","火","火","水","水","木","木","金","金","土","土","日","日","月"),"")</f>
        <v/>
      </c>
      <c r="R71" s="18" t="str" cm="1">
        <f t="array" ref="R71">IF(R70&gt;0,_xlfn.SWITCH(Q71,"月","火","火","水","水","木","木","金","金","土","土","日","日","月"),"")</f>
        <v/>
      </c>
      <c r="S71" s="18" t="str" cm="1">
        <f t="array" ref="S71">IF(S70&gt;0,_xlfn.SWITCH(R71,"月","火","火","水","水","木","木","金","金","土","土","日","日","月"),"")</f>
        <v/>
      </c>
      <c r="T71" s="18" t="str" cm="1">
        <f t="array" ref="T71">IF(T70&gt;0,_xlfn.SWITCH(S71,"月","火","火","水","水","木","木","金","金","土","土","日","日","月"),"")</f>
        <v/>
      </c>
      <c r="U71" s="18" t="str" cm="1">
        <f t="array" ref="U71">IF(U70&gt;0,_xlfn.SWITCH(T71,"月","火","火","水","水","木","木","金","金","土","土","日","日","月"),"")</f>
        <v/>
      </c>
      <c r="V71" s="18" t="str" cm="1">
        <f t="array" ref="V71">IF(V70&gt;0,_xlfn.SWITCH(U71,"月","火","火","水","水","木","木","金","金","土","土","日","日","月"),"")</f>
        <v/>
      </c>
      <c r="W71" s="18" t="str" cm="1">
        <f t="array" ref="W71">IF(W70&gt;0,_xlfn.SWITCH(V71,"月","火","火","水","水","木","木","金","金","土","土","日","日","月"),"")</f>
        <v/>
      </c>
      <c r="X71" s="18" t="str" cm="1">
        <f t="array" ref="X71">IF(X70&gt;0,_xlfn.SWITCH(W71,"月","火","火","水","水","木","木","金","金","土","土","日","日","月"),"")</f>
        <v/>
      </c>
      <c r="Y71" s="18" t="str" cm="1">
        <f t="array" ref="Y71">IF(Y70&gt;0,_xlfn.SWITCH(X71,"月","火","火","水","水","木","木","金","金","土","土","日","日","月"),"")</f>
        <v/>
      </c>
      <c r="Z71" s="18" t="str" cm="1">
        <f t="array" ref="Z71">IF(Z70&gt;0,_xlfn.SWITCH(Y71,"月","火","火","水","水","木","木","金","金","土","土","日","日","月"),"")</f>
        <v/>
      </c>
      <c r="AA71" s="18" t="str" cm="1">
        <f t="array" ref="AA71">IF(AA70&gt;0,_xlfn.SWITCH(Z71,"月","火","火","水","水","木","木","金","金","土","土","日","日","月"),"")</f>
        <v/>
      </c>
      <c r="AB71" s="18" t="str" cm="1">
        <f t="array" ref="AB71">IF(AB70&gt;0,_xlfn.SWITCH(AA71,"月","火","火","水","水","木","木","金","金","土","土","日","日","月"),"")</f>
        <v/>
      </c>
      <c r="AC71" s="18" t="str" cm="1">
        <f t="array" ref="AC71">IF(AC70&gt;0,_xlfn.SWITCH(AB71,"月","火","火","水","水","木","木","金","金","土","土","日","日","月"),"")</f>
        <v/>
      </c>
      <c r="AD71" s="18" t="str" cm="1">
        <f t="array" ref="AD71">IF(AD70&gt;0,_xlfn.SWITCH(AC71,"月","火","火","水","水","木","木","金","金","土","土","日","日","月"),"")</f>
        <v/>
      </c>
      <c r="AE71" s="18" t="str" cm="1">
        <f t="array" ref="AE71">IF(AE70&gt;0,_xlfn.SWITCH(AD71,"月","火","火","水","水","木","木","金","金","土","土","日","日","月"),"")</f>
        <v/>
      </c>
      <c r="AF71" s="28"/>
      <c r="AG71" s="7"/>
      <c r="AH71" s="11"/>
      <c r="AI71" s="7"/>
      <c r="AJ71" s="50" t="s">
        <v>12</v>
      </c>
      <c r="AK71" s="51"/>
      <c r="AL71" s="51"/>
      <c r="AM71" s="52"/>
      <c r="AN71" s="46"/>
      <c r="AO71" s="46"/>
    </row>
    <row r="72" spans="2:41" ht="24" x14ac:dyDescent="0.4">
      <c r="B72" s="40"/>
      <c r="C72" s="15" t="s">
        <v>0</v>
      </c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31">
        <f>IF(_xlfn.DAYS(AI6,AA6)+1-336&gt;=28,28,IF(_xlfn.DAYS(AI6,AA6)+1-336&lt;0,0,_xlfn.DAYS(AI6,AA6)+1-336))</f>
        <v>0</v>
      </c>
      <c r="AG72" s="33"/>
      <c r="AH72" s="53">
        <f>AF72-COUNTIF(D72:AE72,"×")</f>
        <v>0</v>
      </c>
      <c r="AI72" s="54"/>
      <c r="AJ72" s="31">
        <f>COUNTIF(D72:AE72,"●")</f>
        <v>0</v>
      </c>
      <c r="AK72" s="32"/>
      <c r="AL72" s="32"/>
      <c r="AM72" s="33"/>
      <c r="AN72" s="34" t="e">
        <f>AJ72/AH72</f>
        <v>#DIV/0!</v>
      </c>
      <c r="AO72" s="34"/>
    </row>
    <row r="73" spans="2:41" ht="24.75" thickBot="1" x14ac:dyDescent="0.45">
      <c r="B73" s="41"/>
      <c r="C73" s="12" t="s">
        <v>1</v>
      </c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35">
        <f>IF(_xlfn.DAYS(AI6,AA6)+1-336&gt;=28,28,IF(_xlfn.DAYS(AI6,AA6)+1-336&lt;0,0,_xlfn.DAYS(AI6,AA6)+1-336))</f>
        <v>0</v>
      </c>
      <c r="AG73" s="36"/>
      <c r="AH73" s="35">
        <f>AF73-COUNTIF(D73:AE73,"×")</f>
        <v>0</v>
      </c>
      <c r="AI73" s="36"/>
      <c r="AJ73" s="35">
        <f>COUNTIF(D73:AE73,"●")</f>
        <v>0</v>
      </c>
      <c r="AK73" s="37"/>
      <c r="AL73" s="37"/>
      <c r="AM73" s="36"/>
      <c r="AN73" s="38" t="e">
        <f>AJ73/AH73</f>
        <v>#DIV/0!</v>
      </c>
      <c r="AO73" s="38"/>
    </row>
    <row r="74" spans="2:41" ht="24" x14ac:dyDescent="0.4">
      <c r="B74" s="39" t="s">
        <v>32</v>
      </c>
      <c r="C74" s="9" t="s">
        <v>15</v>
      </c>
      <c r="D74" s="20">
        <f>IF($AF$77-1&lt;0,,MONTH($AA$6+364))</f>
        <v>0</v>
      </c>
      <c r="E74" s="20">
        <f>IF($AF$77-2&lt;0,,MONTH($AA$6+365))</f>
        <v>0</v>
      </c>
      <c r="F74" s="20">
        <f>IF($AF$77-3&lt;0,,MONTH($AA$6+366))</f>
        <v>0</v>
      </c>
      <c r="G74" s="20">
        <f>IF($AF$77-4&lt;0,,MONTH($AA$6+367))</f>
        <v>0</v>
      </c>
      <c r="H74" s="20">
        <f>IF($AF$77-5&lt;0,,MONTH($AA$6+368))</f>
        <v>0</v>
      </c>
      <c r="I74" s="20">
        <f>IF($AF$77-6&lt;0,,MONTH($AA$6+369))</f>
        <v>0</v>
      </c>
      <c r="J74" s="20">
        <f>IF($AF$77-7&lt;0,,MONTH($AA$6+370))</f>
        <v>0</v>
      </c>
      <c r="K74" s="20">
        <f>IF($AF$77-8&lt;0,,MONTH($AA$6+371))</f>
        <v>0</v>
      </c>
      <c r="L74" s="20">
        <f>IF($AF$77-9&lt;0,,MONTH($AA$6+372))</f>
        <v>0</v>
      </c>
      <c r="M74" s="20">
        <f>IF($AF$77-10&lt;0,,MONTH($AA$6+373))</f>
        <v>0</v>
      </c>
      <c r="N74" s="20">
        <f>IF($AF$77-11&lt;0,,MONTH($AA$6+374))</f>
        <v>0</v>
      </c>
      <c r="O74" s="20">
        <f>IF($AF$77-12&lt;0,,MONTH($AA$6+375))</f>
        <v>0</v>
      </c>
      <c r="P74" s="20">
        <f>IF($AF$77-13&lt;0,,MONTH($AA$6+376))</f>
        <v>0</v>
      </c>
      <c r="Q74" s="20">
        <f>IF($AF$77-14&lt;0,,MONTH($AA$6+377))</f>
        <v>0</v>
      </c>
      <c r="R74" s="20">
        <f>IF($AF$77-15&lt;0,,MONTH($AA$6+378))</f>
        <v>0</v>
      </c>
      <c r="S74" s="20">
        <f>IF($AF$77-16&lt;0,,MONTH($AA$6+379))</f>
        <v>0</v>
      </c>
      <c r="T74" s="20">
        <f>IF($AF$77-17&lt;0,,MONTH($AA$6+380))</f>
        <v>0</v>
      </c>
      <c r="U74" s="20">
        <f>IF($AF$77-18&lt;0,,MONTH($AA$6+381))</f>
        <v>0</v>
      </c>
      <c r="V74" s="20">
        <f>IF($AF$77-19&lt;0,,MONTH($AA$6+382))</f>
        <v>0</v>
      </c>
      <c r="W74" s="20">
        <f>IF($AF$77-20&lt;0,,MONTH($AA$6+383))</f>
        <v>0</v>
      </c>
      <c r="X74" s="20">
        <f>IF($AF$77-21&lt;0,,MONTH($AA$6+384))</f>
        <v>0</v>
      </c>
      <c r="Y74" s="20">
        <f>IF($AF$77-22&lt;0,,MONTH($AA$6+385))</f>
        <v>0</v>
      </c>
      <c r="Z74" s="20">
        <f>IF($AF$77-23&lt;0,,MONTH($AA$6+386))</f>
        <v>0</v>
      </c>
      <c r="AA74" s="20">
        <f>IF($AF$77-24&lt;0,,MONTH($AA$6+387))</f>
        <v>0</v>
      </c>
      <c r="AB74" s="20">
        <f>IF($AF$77-25&lt;0,,MONTH($AA$6+388))</f>
        <v>0</v>
      </c>
      <c r="AC74" s="20">
        <f>IF($AF$77-26&lt;0,,MONTH($AA$6+389))</f>
        <v>0</v>
      </c>
      <c r="AD74" s="20">
        <f>IF($AF$77-27&lt;0,,MONTH($AA$6+390))</f>
        <v>0</v>
      </c>
      <c r="AE74" s="20">
        <f>IF($AF$77-28&lt;0,,MONTH($AA$6+391))</f>
        <v>0</v>
      </c>
      <c r="AF74" s="42" t="s">
        <v>39</v>
      </c>
      <c r="AG74" s="43"/>
      <c r="AH74" s="43"/>
      <c r="AI74" s="43"/>
      <c r="AJ74" s="43"/>
      <c r="AK74" s="43"/>
      <c r="AL74" s="43"/>
      <c r="AM74" s="44"/>
      <c r="AN74" s="45" t="s">
        <v>5</v>
      </c>
      <c r="AO74" s="45"/>
    </row>
    <row r="75" spans="2:41" ht="24" x14ac:dyDescent="0.4">
      <c r="B75" s="40"/>
      <c r="C75" s="18" t="s">
        <v>11</v>
      </c>
      <c r="D75" s="20">
        <f>IF($AF$77-1&lt;0,,DAY($AA$6+364))</f>
        <v>0</v>
      </c>
      <c r="E75" s="20">
        <f>IF($AF$77-2&lt;0,,DAY($AA$6+365))</f>
        <v>0</v>
      </c>
      <c r="F75" s="20">
        <f>IF($AF$77-3&lt;0,,DAY($AA$6+366))</f>
        <v>0</v>
      </c>
      <c r="G75" s="20">
        <f>IF($AF$77-4&lt;0,,DAY($AA$6+367))</f>
        <v>0</v>
      </c>
      <c r="H75" s="20">
        <f>IF($AF$77-5&lt;0,,DAY($AA$6+368))</f>
        <v>0</v>
      </c>
      <c r="I75" s="20">
        <f>IF($AF$77-6&lt;0,,DAY($AA$6+369))</f>
        <v>0</v>
      </c>
      <c r="J75" s="20">
        <f>IF($AF$77-7&lt;0,,DAY($AA$6+370))</f>
        <v>0</v>
      </c>
      <c r="K75" s="20">
        <f>IF($AF$77-8&lt;0,,DAY($AA$6+371))</f>
        <v>0</v>
      </c>
      <c r="L75" s="20">
        <f>IF($AF$77-9&lt;0,,DAY($AA$6+372))</f>
        <v>0</v>
      </c>
      <c r="M75" s="20">
        <f>IF($AF$77-10&lt;0,,DAY($AA$6+373))</f>
        <v>0</v>
      </c>
      <c r="N75" s="20">
        <f>IF($AF$77-11&lt;0,,DAY($AA$6+374))</f>
        <v>0</v>
      </c>
      <c r="O75" s="20">
        <f>IF($AF$77-12&lt;0,,DAY($AA$6+375))</f>
        <v>0</v>
      </c>
      <c r="P75" s="20">
        <f>IF($AF$77-13&lt;0,,DAY($AA$6+376))</f>
        <v>0</v>
      </c>
      <c r="Q75" s="20">
        <f>IF($AF$77-14&lt;0,,DAY($AA$6+377))</f>
        <v>0</v>
      </c>
      <c r="R75" s="20">
        <f>IF($AF$77-15&lt;0,,DAY($AA$6+378))</f>
        <v>0</v>
      </c>
      <c r="S75" s="20">
        <f>IF($AF$77-16&lt;0,,DAY($AA$6+379))</f>
        <v>0</v>
      </c>
      <c r="T75" s="20">
        <f>IF($AF$77-17&lt;0,,DAY($AA$6+380))</f>
        <v>0</v>
      </c>
      <c r="U75" s="20">
        <f>IF($AF$77-18&lt;0,,DAY($AA$6+381))</f>
        <v>0</v>
      </c>
      <c r="V75" s="20">
        <f>IF($AF$77-19&lt;0,,DAY($AA$6+382))</f>
        <v>0</v>
      </c>
      <c r="W75" s="20">
        <f>IF($AF$77-20&lt;0,,DAY($AA$6+383))</f>
        <v>0</v>
      </c>
      <c r="X75" s="20">
        <f>IF($AF$77-21&lt;0,,DAY($AA$6+384))</f>
        <v>0</v>
      </c>
      <c r="Y75" s="20">
        <f>IF($AF$77-22&lt;0,,DAY($AA$6+385))</f>
        <v>0</v>
      </c>
      <c r="Z75" s="20">
        <f>IF($AF$77-23&lt;0,,DAY($AA$6+386))</f>
        <v>0</v>
      </c>
      <c r="AA75" s="20">
        <f>IF($AF$77-24&lt;0,,DAY($AA$6+387))</f>
        <v>0</v>
      </c>
      <c r="AB75" s="20">
        <f>IF($AF$77-25&lt;0,,DAY($AA$6+388))</f>
        <v>0</v>
      </c>
      <c r="AC75" s="20">
        <f>IF($AF$77-26&lt;0,,DAY($AA$6+389))</f>
        <v>0</v>
      </c>
      <c r="AD75" s="20">
        <f>IF($AF$77-27&lt;0,,DAY($AA$6+390))</f>
        <v>0</v>
      </c>
      <c r="AE75" s="20">
        <f>IF($AF$77-28&lt;0,,DAY($AA$6+391))</f>
        <v>0</v>
      </c>
      <c r="AF75" s="26"/>
      <c r="AG75" s="27"/>
      <c r="AH75" s="47" t="s">
        <v>14</v>
      </c>
      <c r="AI75" s="48"/>
      <c r="AJ75" s="48"/>
      <c r="AK75" s="48"/>
      <c r="AL75" s="48"/>
      <c r="AM75" s="49"/>
      <c r="AN75" s="46"/>
      <c r="AO75" s="46"/>
    </row>
    <row r="76" spans="2:41" ht="24" x14ac:dyDescent="0.4">
      <c r="B76" s="40"/>
      <c r="C76" s="18" t="s">
        <v>16</v>
      </c>
      <c r="D76" s="18" t="str" cm="1">
        <f t="array" ref="D76">IF(D75&gt;0,_xlfn.SWITCH(AE71,"月","火","火","水","水","木","木","金","金","土","土","日","日","月"),"")</f>
        <v/>
      </c>
      <c r="E76" s="18" t="str" cm="1">
        <f t="array" ref="E76">IF(E75&gt;0,_xlfn.SWITCH(D76,"月","火","火","水","水","木","木","金","金","土","土","日","日","月"),"")</f>
        <v/>
      </c>
      <c r="F76" s="18" t="str" cm="1">
        <f t="array" ref="F76">IF(F75&gt;0,_xlfn.SWITCH(E76,"月","火","火","水","水","木","木","金","金","土","土","日","日","月"),"")</f>
        <v/>
      </c>
      <c r="G76" s="18" t="str" cm="1">
        <f t="array" ref="G76">IF(G75&gt;0,_xlfn.SWITCH(F76,"月","火","火","水","水","木","木","金","金","土","土","日","日","月"),"")</f>
        <v/>
      </c>
      <c r="H76" s="18" t="str" cm="1">
        <f t="array" ref="H76">IF(H75&gt;0,_xlfn.SWITCH(G76,"月","火","火","水","水","木","木","金","金","土","土","日","日","月"),"")</f>
        <v/>
      </c>
      <c r="I76" s="18" t="str" cm="1">
        <f t="array" ref="I76">IF(I75&gt;0,_xlfn.SWITCH(H76,"月","火","火","水","水","木","木","金","金","土","土","日","日","月"),"")</f>
        <v/>
      </c>
      <c r="J76" s="18" t="str" cm="1">
        <f t="array" ref="J76">IF(J75&gt;0,_xlfn.SWITCH(I76,"月","火","火","水","水","木","木","金","金","土","土","日","日","月"),"")</f>
        <v/>
      </c>
      <c r="K76" s="18" t="str" cm="1">
        <f t="array" ref="K76">IF(K75&gt;0,_xlfn.SWITCH(J76,"月","火","火","水","水","木","木","金","金","土","土","日","日","月"),"")</f>
        <v/>
      </c>
      <c r="L76" s="18" t="str" cm="1">
        <f t="array" ref="L76">IF(L75&gt;0,_xlfn.SWITCH(K76,"月","火","火","水","水","木","木","金","金","土","土","日","日","月"),"")</f>
        <v/>
      </c>
      <c r="M76" s="18" t="str" cm="1">
        <f t="array" ref="M76">IF(M75&gt;0,_xlfn.SWITCH(L76,"月","火","火","水","水","木","木","金","金","土","土","日","日","月"),"")</f>
        <v/>
      </c>
      <c r="N76" s="18" t="str" cm="1">
        <f t="array" ref="N76">IF(N75&gt;0,_xlfn.SWITCH(M76,"月","火","火","水","水","木","木","金","金","土","土","日","日","月"),"")</f>
        <v/>
      </c>
      <c r="O76" s="18" t="str" cm="1">
        <f t="array" ref="O76">IF(O75&gt;0,_xlfn.SWITCH(N76,"月","火","火","水","水","木","木","金","金","土","土","日","日","月"),"")</f>
        <v/>
      </c>
      <c r="P76" s="18" t="str" cm="1">
        <f t="array" ref="P76">IF(P75&gt;0,_xlfn.SWITCH(O76,"月","火","火","水","水","木","木","金","金","土","土","日","日","月"),"")</f>
        <v/>
      </c>
      <c r="Q76" s="18" t="str" cm="1">
        <f t="array" ref="Q76">IF(Q75&gt;0,_xlfn.SWITCH(P76,"月","火","火","水","水","木","木","金","金","土","土","日","日","月"),"")</f>
        <v/>
      </c>
      <c r="R76" s="18" t="str" cm="1">
        <f t="array" ref="R76">IF(R75&gt;0,_xlfn.SWITCH(Q76,"月","火","火","水","水","木","木","金","金","土","土","日","日","月"),"")</f>
        <v/>
      </c>
      <c r="S76" s="18" t="str" cm="1">
        <f t="array" ref="S76">IF(S75&gt;0,_xlfn.SWITCH(R76,"月","火","火","水","水","木","木","金","金","土","土","日","日","月"),"")</f>
        <v/>
      </c>
      <c r="T76" s="18" t="str" cm="1">
        <f t="array" ref="T76">IF(T75&gt;0,_xlfn.SWITCH(S76,"月","火","火","水","水","木","木","金","金","土","土","日","日","月"),"")</f>
        <v/>
      </c>
      <c r="U76" s="18" t="str" cm="1">
        <f t="array" ref="U76">IF(U75&gt;0,_xlfn.SWITCH(T76,"月","火","火","水","水","木","木","金","金","土","土","日","日","月"),"")</f>
        <v/>
      </c>
      <c r="V76" s="18" t="str" cm="1">
        <f t="array" ref="V76">IF(V75&gt;0,_xlfn.SWITCH(U76,"月","火","火","水","水","木","木","金","金","土","土","日","日","月"),"")</f>
        <v/>
      </c>
      <c r="W76" s="18" t="str" cm="1">
        <f t="array" ref="W76">IF(W75&gt;0,_xlfn.SWITCH(V76,"月","火","火","水","水","木","木","金","金","土","土","日","日","月"),"")</f>
        <v/>
      </c>
      <c r="X76" s="18" t="str" cm="1">
        <f t="array" ref="X76">IF(X75&gt;0,_xlfn.SWITCH(W76,"月","火","火","水","水","木","木","金","金","土","土","日","日","月"),"")</f>
        <v/>
      </c>
      <c r="Y76" s="18" t="str" cm="1">
        <f t="array" ref="Y76">IF(Y75&gt;0,_xlfn.SWITCH(X76,"月","火","火","水","水","木","木","金","金","土","土","日","日","月"),"")</f>
        <v/>
      </c>
      <c r="Z76" s="18" t="str" cm="1">
        <f t="array" ref="Z76">IF(Z75&gt;0,_xlfn.SWITCH(Y76,"月","火","火","水","水","木","木","金","金","土","土","日","日","月"),"")</f>
        <v/>
      </c>
      <c r="AA76" s="18" t="str" cm="1">
        <f t="array" ref="AA76">IF(AA75&gt;0,_xlfn.SWITCH(Z76,"月","火","火","水","水","木","木","金","金","土","土","日","日","月"),"")</f>
        <v/>
      </c>
      <c r="AB76" s="18" t="str" cm="1">
        <f t="array" ref="AB76">IF(AB75&gt;0,_xlfn.SWITCH(AA76,"月","火","火","水","水","木","木","金","金","土","土","日","日","月"),"")</f>
        <v/>
      </c>
      <c r="AC76" s="18" t="str" cm="1">
        <f t="array" ref="AC76">IF(AC75&gt;0,_xlfn.SWITCH(AB76,"月","火","火","水","水","木","木","金","金","土","土","日","日","月"),"")</f>
        <v/>
      </c>
      <c r="AD76" s="18" t="str" cm="1">
        <f t="array" ref="AD76">IF(AD75&gt;0,_xlfn.SWITCH(AC76,"月","火","火","水","水","木","木","金","金","土","土","日","日","月"),"")</f>
        <v/>
      </c>
      <c r="AE76" s="18" t="str" cm="1">
        <f t="array" ref="AE76">IF(AE75&gt;0,_xlfn.SWITCH(AD76,"月","火","火","水","水","木","木","金","金","土","土","日","日","月"),"")</f>
        <v/>
      </c>
      <c r="AF76" s="28"/>
      <c r="AG76" s="7"/>
      <c r="AH76" s="11"/>
      <c r="AI76" s="7"/>
      <c r="AJ76" s="50" t="s">
        <v>12</v>
      </c>
      <c r="AK76" s="51"/>
      <c r="AL76" s="51"/>
      <c r="AM76" s="52"/>
      <c r="AN76" s="46"/>
      <c r="AO76" s="46"/>
    </row>
    <row r="77" spans="2:41" ht="24" x14ac:dyDescent="0.4">
      <c r="B77" s="40"/>
      <c r="C77" s="15" t="s">
        <v>0</v>
      </c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31">
        <f>IF(_xlfn.DAYS(AI6,AA6)+1-364&gt;=28,28,IF(_xlfn.DAYS(AI6,AA6)+1-364&lt;0,0,_xlfn.DAYS(AI6,AA6)+1-364))</f>
        <v>0</v>
      </c>
      <c r="AG77" s="33"/>
      <c r="AH77" s="53">
        <f>AF77-COUNTIF(D77:AE77,"×")</f>
        <v>0</v>
      </c>
      <c r="AI77" s="54"/>
      <c r="AJ77" s="31">
        <f>COUNTIF(D77:AE77,"●")</f>
        <v>0</v>
      </c>
      <c r="AK77" s="32"/>
      <c r="AL77" s="32"/>
      <c r="AM77" s="33"/>
      <c r="AN77" s="34" t="e">
        <f>AJ77/AH77</f>
        <v>#DIV/0!</v>
      </c>
      <c r="AO77" s="34"/>
    </row>
    <row r="78" spans="2:41" ht="24.75" thickBot="1" x14ac:dyDescent="0.45">
      <c r="B78" s="41"/>
      <c r="C78" s="12" t="s">
        <v>1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35">
        <f>IF(_xlfn.DAYS(AI6,AA6)+1-364&gt;=28,28,IF(_xlfn.DAYS(AI6,AA6)+1-364&lt;0,0,_xlfn.DAYS(AI6,AA6)+1-364))</f>
        <v>0</v>
      </c>
      <c r="AG78" s="36"/>
      <c r="AH78" s="35">
        <f>AF78-COUNTIF(D78:AE78,"×")</f>
        <v>0</v>
      </c>
      <c r="AI78" s="36"/>
      <c r="AJ78" s="35">
        <f>COUNTIF(D78:AE78,"●")</f>
        <v>0</v>
      </c>
      <c r="AK78" s="37"/>
      <c r="AL78" s="37"/>
      <c r="AM78" s="36"/>
      <c r="AN78" s="38" t="e">
        <f>AJ78/AH78</f>
        <v>#DIV/0!</v>
      </c>
      <c r="AO78" s="38"/>
    </row>
    <row r="79" spans="2:41" ht="33" x14ac:dyDescent="0.4">
      <c r="D79" s="5" t="s">
        <v>13</v>
      </c>
    </row>
  </sheetData>
  <sheetProtection selectLockedCells="1"/>
  <mergeCells count="197">
    <mergeCell ref="D6:W6"/>
    <mergeCell ref="D7:W7"/>
    <mergeCell ref="AI6:AL6"/>
    <mergeCell ref="AA6:AD6"/>
    <mergeCell ref="X7:Z7"/>
    <mergeCell ref="X6:Z6"/>
    <mergeCell ref="X5:Z5"/>
    <mergeCell ref="AA5:AO5"/>
    <mergeCell ref="AA7:AO7"/>
    <mergeCell ref="AF73:AG73"/>
    <mergeCell ref="AJ77:AM77"/>
    <mergeCell ref="AN77:AO77"/>
    <mergeCell ref="AF78:AG78"/>
    <mergeCell ref="AH78:AI78"/>
    <mergeCell ref="AJ78:AM78"/>
    <mergeCell ref="AN78:AO78"/>
    <mergeCell ref="AH73:AI73"/>
    <mergeCell ref="AJ73:AM73"/>
    <mergeCell ref="AN73:AO73"/>
    <mergeCell ref="AN67:AO67"/>
    <mergeCell ref="AF68:AG68"/>
    <mergeCell ref="AH68:AI68"/>
    <mergeCell ref="AJ68:AM68"/>
    <mergeCell ref="AN68:AO68"/>
    <mergeCell ref="AH63:AI63"/>
    <mergeCell ref="AJ63:AM63"/>
    <mergeCell ref="AN63:AO63"/>
    <mergeCell ref="B74:B78"/>
    <mergeCell ref="AF74:AM74"/>
    <mergeCell ref="AN74:AO76"/>
    <mergeCell ref="AH75:AM75"/>
    <mergeCell ref="AJ76:AM76"/>
    <mergeCell ref="AF77:AG77"/>
    <mergeCell ref="AH77:AI77"/>
    <mergeCell ref="B69:B73"/>
    <mergeCell ref="AF69:AM69"/>
    <mergeCell ref="AN69:AO71"/>
    <mergeCell ref="AH70:AM70"/>
    <mergeCell ref="AJ71:AM71"/>
    <mergeCell ref="AF72:AG72"/>
    <mergeCell ref="AH72:AI72"/>
    <mergeCell ref="AJ72:AM72"/>
    <mergeCell ref="AN72:AO72"/>
    <mergeCell ref="AH58:AI58"/>
    <mergeCell ref="AJ58:AM58"/>
    <mergeCell ref="AN58:AO58"/>
    <mergeCell ref="AH53:AI53"/>
    <mergeCell ref="AJ53:AM53"/>
    <mergeCell ref="AN53:AO53"/>
    <mergeCell ref="B64:B68"/>
    <mergeCell ref="AF64:AM64"/>
    <mergeCell ref="AN64:AO66"/>
    <mergeCell ref="AH65:AM65"/>
    <mergeCell ref="AJ66:AM66"/>
    <mergeCell ref="AF67:AG67"/>
    <mergeCell ref="AH67:AI67"/>
    <mergeCell ref="B59:B63"/>
    <mergeCell ref="AF59:AM59"/>
    <mergeCell ref="AN59:AO61"/>
    <mergeCell ref="AH60:AM60"/>
    <mergeCell ref="AJ61:AM61"/>
    <mergeCell ref="AF62:AG62"/>
    <mergeCell ref="AH62:AI62"/>
    <mergeCell ref="AJ62:AM62"/>
    <mergeCell ref="AN62:AO62"/>
    <mergeCell ref="AF63:AG63"/>
    <mergeCell ref="AJ67:AM67"/>
    <mergeCell ref="AN48:AO48"/>
    <mergeCell ref="AH43:AI43"/>
    <mergeCell ref="AJ43:AM43"/>
    <mergeCell ref="AN43:AO43"/>
    <mergeCell ref="B54:B58"/>
    <mergeCell ref="AF54:AM54"/>
    <mergeCell ref="AN54:AO56"/>
    <mergeCell ref="AH55:AM55"/>
    <mergeCell ref="AJ56:AM56"/>
    <mergeCell ref="AF57:AG57"/>
    <mergeCell ref="AH57:AI57"/>
    <mergeCell ref="B49:B53"/>
    <mergeCell ref="AF49:AM49"/>
    <mergeCell ref="AN49:AO51"/>
    <mergeCell ref="AH50:AM50"/>
    <mergeCell ref="AJ51:AM51"/>
    <mergeCell ref="AF52:AG52"/>
    <mergeCell ref="AH52:AI52"/>
    <mergeCell ref="AJ52:AM52"/>
    <mergeCell ref="AN52:AO52"/>
    <mergeCell ref="AF53:AG53"/>
    <mergeCell ref="AJ57:AM57"/>
    <mergeCell ref="AN57:AO57"/>
    <mergeCell ref="AF58:AG58"/>
    <mergeCell ref="AJ33:AM33"/>
    <mergeCell ref="AN33:AO33"/>
    <mergeCell ref="B44:B48"/>
    <mergeCell ref="AF44:AM44"/>
    <mergeCell ref="AN44:AO46"/>
    <mergeCell ref="AH45:AM45"/>
    <mergeCell ref="AJ46:AM46"/>
    <mergeCell ref="AF47:AG47"/>
    <mergeCell ref="AH47:AI47"/>
    <mergeCell ref="B39:B43"/>
    <mergeCell ref="AF39:AM39"/>
    <mergeCell ref="AN39:AO41"/>
    <mergeCell ref="AH40:AM40"/>
    <mergeCell ref="AJ41:AM41"/>
    <mergeCell ref="AF42:AG42"/>
    <mergeCell ref="AH42:AI42"/>
    <mergeCell ref="AJ42:AM42"/>
    <mergeCell ref="AN42:AO42"/>
    <mergeCell ref="AF43:AG43"/>
    <mergeCell ref="AJ47:AM47"/>
    <mergeCell ref="AN47:AO47"/>
    <mergeCell ref="AF48:AG48"/>
    <mergeCell ref="AH48:AI48"/>
    <mergeCell ref="AJ48:AM48"/>
    <mergeCell ref="B34:B38"/>
    <mergeCell ref="AF34:AM34"/>
    <mergeCell ref="AN34:AO36"/>
    <mergeCell ref="AH35:AM35"/>
    <mergeCell ref="AJ36:AM36"/>
    <mergeCell ref="AF37:AG37"/>
    <mergeCell ref="AH37:AI37"/>
    <mergeCell ref="B29:B33"/>
    <mergeCell ref="AF29:AM29"/>
    <mergeCell ref="AN29:AO31"/>
    <mergeCell ref="AH30:AM30"/>
    <mergeCell ref="AJ31:AM31"/>
    <mergeCell ref="AF32:AG32"/>
    <mergeCell ref="AH32:AI32"/>
    <mergeCell ref="AJ32:AM32"/>
    <mergeCell ref="AN32:AO32"/>
    <mergeCell ref="AF33:AG33"/>
    <mergeCell ref="AJ37:AM37"/>
    <mergeCell ref="AN37:AO37"/>
    <mergeCell ref="AF38:AG38"/>
    <mergeCell ref="AH38:AI38"/>
    <mergeCell ref="AJ38:AM38"/>
    <mergeCell ref="AN38:AO38"/>
    <mergeCell ref="AH33:AI33"/>
    <mergeCell ref="AF23:AG23"/>
    <mergeCell ref="AJ27:AM27"/>
    <mergeCell ref="AN27:AO27"/>
    <mergeCell ref="AF28:AG28"/>
    <mergeCell ref="AH28:AI28"/>
    <mergeCell ref="AJ28:AM28"/>
    <mergeCell ref="AN28:AO28"/>
    <mergeCell ref="AH23:AI23"/>
    <mergeCell ref="AJ23:AM23"/>
    <mergeCell ref="AN23:AO23"/>
    <mergeCell ref="AN17:AO17"/>
    <mergeCell ref="AF18:AG18"/>
    <mergeCell ref="AH18:AI18"/>
    <mergeCell ref="AJ18:AM18"/>
    <mergeCell ref="AN18:AO18"/>
    <mergeCell ref="AH13:AI13"/>
    <mergeCell ref="AJ13:AM13"/>
    <mergeCell ref="AN13:AO13"/>
    <mergeCell ref="B24:B28"/>
    <mergeCell ref="AF24:AM24"/>
    <mergeCell ref="AN24:AO26"/>
    <mergeCell ref="AH25:AM25"/>
    <mergeCell ref="AJ26:AM26"/>
    <mergeCell ref="AF27:AG27"/>
    <mergeCell ref="AH27:AI27"/>
    <mergeCell ref="B19:B23"/>
    <mergeCell ref="AF19:AM19"/>
    <mergeCell ref="AN19:AO21"/>
    <mergeCell ref="AH20:AM20"/>
    <mergeCell ref="AJ21:AM21"/>
    <mergeCell ref="AF22:AG22"/>
    <mergeCell ref="AH22:AI22"/>
    <mergeCell ref="AJ22:AM22"/>
    <mergeCell ref="AN22:AO22"/>
    <mergeCell ref="B6:C6"/>
    <mergeCell ref="B7:C7"/>
    <mergeCell ref="AB2:AO2"/>
    <mergeCell ref="B3:AO3"/>
    <mergeCell ref="B5:C5"/>
    <mergeCell ref="D5:W5"/>
    <mergeCell ref="B14:B18"/>
    <mergeCell ref="AF14:AM14"/>
    <mergeCell ref="AN14:AO16"/>
    <mergeCell ref="AH15:AM15"/>
    <mergeCell ref="AJ16:AM16"/>
    <mergeCell ref="AF17:AG17"/>
    <mergeCell ref="AH17:AI17"/>
    <mergeCell ref="B9:B13"/>
    <mergeCell ref="AF9:AM9"/>
    <mergeCell ref="AN9:AO11"/>
    <mergeCell ref="AH10:AM10"/>
    <mergeCell ref="AJ11:AM11"/>
    <mergeCell ref="AF12:AG12"/>
    <mergeCell ref="AH12:AI12"/>
    <mergeCell ref="AJ12:AM12"/>
    <mergeCell ref="AN12:AO12"/>
    <mergeCell ref="AF13:AG13"/>
    <mergeCell ref="AJ17:AM17"/>
  </mergeCells>
  <phoneticPr fontId="1"/>
  <conditionalFormatting sqref="D63:AE63 D67:AE68 D73:AE73 D78:AE78">
    <cfRule type="cellIs" dxfId="40" priority="41" operator="equal">
      <formula>"×"</formula>
    </cfRule>
  </conditionalFormatting>
  <conditionalFormatting sqref="D18:AE18 D23:AE23 D28:AE28 D33:AE33 D38:AE38 D43:AE43 D48:AE48 D58:AE58 D12:AE13 D53:AE53">
    <cfRule type="cellIs" dxfId="39" priority="40" operator="equal">
      <formula>"×"</formula>
    </cfRule>
  </conditionalFormatting>
  <conditionalFormatting sqref="D22:F22 I22:T22 AD22:AE22 W22:AA22">
    <cfRule type="cellIs" dxfId="38" priority="39" operator="equal">
      <formula>"×"</formula>
    </cfRule>
  </conditionalFormatting>
  <conditionalFormatting sqref="D27:F27 I27:M27 AD27:AE27 W27:AA27 P27:T27">
    <cfRule type="cellIs" dxfId="37" priority="38" operator="equal">
      <formula>"×"</formula>
    </cfRule>
  </conditionalFormatting>
  <conditionalFormatting sqref="D32:F32 I32:M32 AD32:AE32 W32:AA32 P32:T32">
    <cfRule type="cellIs" dxfId="36" priority="37" operator="equal">
      <formula>"×"</formula>
    </cfRule>
  </conditionalFormatting>
  <conditionalFormatting sqref="D37:F37 I37:M37 AD37:AE37 W37:AA37 P37:T37">
    <cfRule type="cellIs" dxfId="35" priority="36" operator="equal">
      <formula>"×"</formula>
    </cfRule>
  </conditionalFormatting>
  <conditionalFormatting sqref="D42:F42 I42:M42 AD42:AE42 W42:AA42 P42:T42">
    <cfRule type="cellIs" dxfId="34" priority="35" operator="equal">
      <formula>"×"</formula>
    </cfRule>
  </conditionalFormatting>
  <conditionalFormatting sqref="D47:F47 I47:T47 AD47:AE47 W47:AA47">
    <cfRule type="cellIs" dxfId="33" priority="34" operator="equal">
      <formula>"×"</formula>
    </cfRule>
  </conditionalFormatting>
  <conditionalFormatting sqref="D52:F52 I52:AE52">
    <cfRule type="cellIs" dxfId="32" priority="33" operator="equal">
      <formula>"×"</formula>
    </cfRule>
  </conditionalFormatting>
  <conditionalFormatting sqref="D57:AE57">
    <cfRule type="cellIs" dxfId="31" priority="32" operator="equal">
      <formula>"×"</formula>
    </cfRule>
  </conditionalFormatting>
  <conditionalFormatting sqref="D62:AE62">
    <cfRule type="cellIs" dxfId="30" priority="31" operator="equal">
      <formula>"×"</formula>
    </cfRule>
  </conditionalFormatting>
  <conditionalFormatting sqref="D72:AE72">
    <cfRule type="cellIs" dxfId="29" priority="30" operator="equal">
      <formula>"×"</formula>
    </cfRule>
  </conditionalFormatting>
  <conditionalFormatting sqref="D77:AE77">
    <cfRule type="cellIs" dxfId="28" priority="29" operator="equal">
      <formula>"×"</formula>
    </cfRule>
  </conditionalFormatting>
  <conditionalFormatting sqref="D17:F17 I17:M17 AD17:AE17 W17:AA17 P17:T17">
    <cfRule type="cellIs" dxfId="27" priority="28" operator="equal">
      <formula>"×"</formula>
    </cfRule>
  </conditionalFormatting>
  <conditionalFormatting sqref="G17:H17">
    <cfRule type="cellIs" dxfId="26" priority="27" operator="equal">
      <formula>"×"</formula>
    </cfRule>
  </conditionalFormatting>
  <conditionalFormatting sqref="G22:H22">
    <cfRule type="cellIs" dxfId="25" priority="26" operator="equal">
      <formula>"×"</formula>
    </cfRule>
  </conditionalFormatting>
  <conditionalFormatting sqref="G27:H27">
    <cfRule type="cellIs" dxfId="24" priority="25" operator="equal">
      <formula>"×"</formula>
    </cfRule>
  </conditionalFormatting>
  <conditionalFormatting sqref="G32:H32">
    <cfRule type="cellIs" dxfId="23" priority="24" operator="equal">
      <formula>"×"</formula>
    </cfRule>
  </conditionalFormatting>
  <conditionalFormatting sqref="G37:H37">
    <cfRule type="cellIs" dxfId="22" priority="23" operator="equal">
      <formula>"×"</formula>
    </cfRule>
  </conditionalFormatting>
  <conditionalFormatting sqref="G42:H42">
    <cfRule type="cellIs" dxfId="21" priority="22" operator="equal">
      <formula>"×"</formula>
    </cfRule>
  </conditionalFormatting>
  <conditionalFormatting sqref="G52:H52">
    <cfRule type="cellIs" dxfId="20" priority="21" operator="equal">
      <formula>"×"</formula>
    </cfRule>
  </conditionalFormatting>
  <conditionalFormatting sqref="G47:H47">
    <cfRule type="cellIs" dxfId="19" priority="20" operator="equal">
      <formula>"×"</formula>
    </cfRule>
  </conditionalFormatting>
  <conditionalFormatting sqref="AB17:AC17">
    <cfRule type="cellIs" dxfId="18" priority="19" operator="equal">
      <formula>"×"</formula>
    </cfRule>
  </conditionalFormatting>
  <conditionalFormatting sqref="AB22:AC22">
    <cfRule type="cellIs" dxfId="17" priority="18" operator="equal">
      <formula>"×"</formula>
    </cfRule>
  </conditionalFormatting>
  <conditionalFormatting sqref="AB27:AC27">
    <cfRule type="cellIs" dxfId="16" priority="17" operator="equal">
      <formula>"×"</formula>
    </cfRule>
  </conditionalFormatting>
  <conditionalFormatting sqref="AB32:AC32">
    <cfRule type="cellIs" dxfId="15" priority="16" operator="equal">
      <formula>"×"</formula>
    </cfRule>
  </conditionalFormatting>
  <conditionalFormatting sqref="AB37:AC37">
    <cfRule type="cellIs" dxfId="14" priority="15" operator="equal">
      <formula>"×"</formula>
    </cfRule>
  </conditionalFormatting>
  <conditionalFormatting sqref="AB42:AC42">
    <cfRule type="cellIs" dxfId="13" priority="14" operator="equal">
      <formula>"×"</formula>
    </cfRule>
  </conditionalFormatting>
  <conditionalFormatting sqref="AB47:AC47">
    <cfRule type="cellIs" dxfId="12" priority="13" operator="equal">
      <formula>"×"</formula>
    </cfRule>
  </conditionalFormatting>
  <conditionalFormatting sqref="U17:V17">
    <cfRule type="cellIs" dxfId="11" priority="12" operator="equal">
      <formula>"×"</formula>
    </cfRule>
  </conditionalFormatting>
  <conditionalFormatting sqref="U22:V22">
    <cfRule type="cellIs" dxfId="10" priority="11" operator="equal">
      <formula>"×"</formula>
    </cfRule>
  </conditionalFormatting>
  <conditionalFormatting sqref="U27:V27">
    <cfRule type="cellIs" dxfId="9" priority="10" operator="equal">
      <formula>"×"</formula>
    </cfRule>
  </conditionalFormatting>
  <conditionalFormatting sqref="U32:V32">
    <cfRule type="cellIs" dxfId="8" priority="9" operator="equal">
      <formula>"×"</formula>
    </cfRule>
  </conditionalFormatting>
  <conditionalFormatting sqref="U37:V37">
    <cfRule type="cellIs" dxfId="7" priority="8" operator="equal">
      <formula>"×"</formula>
    </cfRule>
  </conditionalFormatting>
  <conditionalFormatting sqref="U42:V42">
    <cfRule type="cellIs" dxfId="6" priority="7" operator="equal">
      <formula>"×"</formula>
    </cfRule>
  </conditionalFormatting>
  <conditionalFormatting sqref="U47:V47">
    <cfRule type="cellIs" dxfId="5" priority="6" operator="equal">
      <formula>"×"</formula>
    </cfRule>
  </conditionalFormatting>
  <conditionalFormatting sqref="N17:O17">
    <cfRule type="cellIs" dxfId="4" priority="5" operator="equal">
      <formula>"×"</formula>
    </cfRule>
  </conditionalFormatting>
  <conditionalFormatting sqref="N27:O27">
    <cfRule type="cellIs" dxfId="3" priority="4" operator="equal">
      <formula>"×"</formula>
    </cfRule>
  </conditionalFormatting>
  <conditionalFormatting sqref="N32:O32">
    <cfRule type="cellIs" dxfId="2" priority="3" operator="equal">
      <formula>"×"</formula>
    </cfRule>
  </conditionalFormatting>
  <conditionalFormatting sqref="N37:O37">
    <cfRule type="cellIs" dxfId="1" priority="2" operator="equal">
      <formula>"×"</formula>
    </cfRule>
  </conditionalFormatting>
  <conditionalFormatting sqref="N42:O42">
    <cfRule type="cellIs" dxfId="0" priority="1" operator="equal">
      <formula>"×"</formula>
    </cfRule>
  </conditionalFormatting>
  <dataValidations count="1">
    <dataValidation type="list" allowBlank="1" showInputMessage="1" showErrorMessage="1" sqref="D77:AE78 D62:AE63 D67:AE68 D32:AE33 D17:AE18 D12:AE13 D37:AE38 D47:AE48 D22:AE23 D72:AE73 D42:AE43 D27:AE28 D57:AE58 D52:AE53" xr:uid="{C02962AB-4B57-4C0B-A6DF-A397A11EA1ED}">
      <formula1>"●,×"</formula1>
    </dataValidation>
  </dataValidations>
  <pageMargins left="0.39370078740157483" right="0.39370078740157483" top="0.78740157480314965" bottom="0" header="0.31496062992125984" footer="0.31496062992125984"/>
  <pageSetup paperSize="9" scale="3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様式第１号</vt:lpstr>
      <vt:lpstr>記入例 </vt:lpstr>
      <vt:lpstr>'記入例 '!Print_Area</vt:lpstr>
      <vt:lpstr>様式第１号!Print_Area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Ishimoto</dc:creator>
  <cp:lastModifiedBy>谷本 英貴</cp:lastModifiedBy>
  <cp:lastPrinted>2026-05-22T09:55:37Z</cp:lastPrinted>
  <dcterms:created xsi:type="dcterms:W3CDTF">2023-12-15T01:12:26Z</dcterms:created>
  <dcterms:modified xsi:type="dcterms:W3CDTF">2026-05-25T01:12:12Z</dcterms:modified>
</cp:coreProperties>
</file>